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80" windowHeight="14700" activeTab="0"/>
  </bookViews>
  <sheets>
    <sheet name="ChCount" sheetId="1" r:id="rId1"/>
    <sheet name="FADC" sheetId="2" r:id="rId2"/>
    <sheet name="TDC" sheetId="3" r:id="rId3"/>
    <sheet name="racks,crates" sheetId="4" r:id="rId4"/>
    <sheet name="logic,HV" sheetId="5" r:id="rId5"/>
  </sheets>
  <externalReferences>
    <externalReference r:id="rId8"/>
    <externalReference r:id="rId9"/>
  </externalReferences>
  <definedNames>
    <definedName name="assembly00">'[2]assembly'!#REF!</definedName>
    <definedName name="barrel00">'[2]barrel'!#REF!</definedName>
    <definedName name="barrelcost">#N/A</definedName>
    <definedName name="barrellab">'[2]barrel'!#REF!</definedName>
    <definedName name="beam00">'[2]beamline'!#REF!</definedName>
    <definedName name="beamline00">#REF!</definedName>
    <definedName name="beamline01">#REF!</definedName>
    <definedName name="beamline02">#REF!</definedName>
    <definedName name="beamline03">#REF!</definedName>
    <definedName name="beamline04">#REF!</definedName>
    <definedName name="beamline05">#REF!</definedName>
    <definedName name="beamline06">#REF!</definedName>
    <definedName name="beamlinelab">#REF!</definedName>
    <definedName name="ccenter00">'[2]offline'!#REF!</definedName>
    <definedName name="ccentertot">'[2]Summary'!#REF!</definedName>
    <definedName name="cdc00">'[2]CDC'!#REF!</definedName>
    <definedName name="cerenkov00">'[2]Cerenkov'!#REF!</definedName>
    <definedName name="cerenkovcost">#N/A</definedName>
    <definedName name="cerenkovlab">'[2]DIRC'!$I$18</definedName>
    <definedName name="civil00">#REF!</definedName>
    <definedName name="civil01">#REF!</definedName>
    <definedName name="civil02">#REF!</definedName>
    <definedName name="civil03">#REF!</definedName>
    <definedName name="civil04">#REF!</definedName>
    <definedName name="civil05">#REF!</definedName>
    <definedName name="civil06">#REF!</definedName>
    <definedName name="civilcost">#N/A</definedName>
    <definedName name="civillab">#REF!</definedName>
    <definedName name="computing00">'[1]Computing'!$B$18</definedName>
    <definedName name="computing01">'[1]Computing'!$C$18</definedName>
    <definedName name="computing02">'[1]Computing'!$D$18</definedName>
    <definedName name="computing03">'[1]Computing'!$E$18</definedName>
    <definedName name="computing04">'[1]Computing'!$F$18</definedName>
    <definedName name="computing05">'[1]Computing'!$G$18</definedName>
    <definedName name="computing06">'[1]Computing'!$H$18</definedName>
    <definedName name="computingcost">#N/A</definedName>
    <definedName name="computinglab">'[1]Computing'!$I$20</definedName>
    <definedName name="crateDAQ">'[2]chcount'!$F$43</definedName>
    <definedName name="crateDISC">'[2]chcount'!$F$44</definedName>
    <definedName name="cryogenics00">'[2]cryogenics'!#REF!</definedName>
    <definedName name="daq00">'[2]daq'!#REF!</definedName>
    <definedName name="detectorcost">#REF!</definedName>
    <definedName name="dirc00">'[2]DIRC'!#REF!</definedName>
    <definedName name="electronics00">'[1]Electronics'!$B$17</definedName>
    <definedName name="electronics01">'[1]Electronics'!$C$17</definedName>
    <definedName name="electronics02">'[1]Electronics'!$D$17</definedName>
    <definedName name="electronics03">'[1]Electronics'!$E$17</definedName>
    <definedName name="electronics04">'[1]Electronics'!$F$17</definedName>
    <definedName name="electronics05">'[1]Electronics'!$G$17</definedName>
    <definedName name="electronics06">'[1]Electronics'!$H$17</definedName>
    <definedName name="electronicscost">#N/A</definedName>
    <definedName name="electronicslab">'[1]Electronics'!$I$19</definedName>
    <definedName name="FADC00">'FADC'!#REF!</definedName>
    <definedName name="FADC01">'FADC'!$B$14</definedName>
    <definedName name="FADC02">'FADC'!$C$14</definedName>
    <definedName name="FADC03">'FADC'!$D$14</definedName>
    <definedName name="FADC04">'FADC'!$E$14</definedName>
    <definedName name="FADC05">'FADC'!$F$14</definedName>
    <definedName name="FADC06">'FADC'!$G$14</definedName>
    <definedName name="fdc00">'[2]FDC'!#REF!</definedName>
    <definedName name="forward00">'[2]fcal'!#REF!</definedName>
    <definedName name="forwardcost">#N/A</definedName>
    <definedName name="forwardlab">'[2]fcal'!#REF!</definedName>
    <definedName name="highv00">'logic,HV'!#REF!</definedName>
    <definedName name="highv01">'logic,HV'!$B$14</definedName>
    <definedName name="highv02">'logic,HV'!$C$14</definedName>
    <definedName name="highv03">'logic,HV'!$D$14</definedName>
    <definedName name="highv04">'logic,HV'!$E$14</definedName>
    <definedName name="highv04r">'logic,HV'!$E$14</definedName>
    <definedName name="highv05">'logic,HV'!$F$14</definedName>
    <definedName name="highv06">'logic,HV'!$G$14</definedName>
    <definedName name="hodos00">'[2]hodoscope'!#REF!</definedName>
    <definedName name="installation00">'[2]installation'!#REF!</definedName>
    <definedName name="nadc1">'[2]chcount'!$I$41</definedName>
    <definedName name="nadc2">'[2]chcount'!#REF!</definedName>
    <definedName name="nadc3">'[2]chcount'!$J$41</definedName>
    <definedName name="nadc4">'[2]chcount'!#REF!</definedName>
    <definedName name="ncfd">'[2]chcount'!#REF!</definedName>
    <definedName name="ntdc1">'[2]chcount'!$K$41</definedName>
    <definedName name="ntdc2">'[2]chcount'!$L$41</definedName>
    <definedName name="numracks">'[2]chcount'!$G$41</definedName>
    <definedName name="online00">'[2]online'!#REF!</definedName>
    <definedName name="racks00">'racks,crates'!#REF!</definedName>
    <definedName name="racks01">'racks,crates'!$B$12</definedName>
    <definedName name="racks02">'racks,crates'!$C$12</definedName>
    <definedName name="racks03">'racks,crates'!$D$12</definedName>
    <definedName name="racks04">'racks,crates'!$E$12</definedName>
    <definedName name="racks05">'racks,crates'!$F$12</definedName>
    <definedName name="racks06">'racks,crates'!$G$12</definedName>
    <definedName name="SHARED_FORMULA_0">SUM(A65498:A65532)</definedName>
    <definedName name="SHARED_FORMULA_1">A65535*75</definedName>
    <definedName name="solenoid00">'[2]Solenoid'!#REF!</definedName>
    <definedName name="Solenoidcost">#N/A</definedName>
    <definedName name="Solenoidlab">'[1]Solenoid'!$I$17</definedName>
    <definedName name="start00">'[2]Start'!#REF!</definedName>
    <definedName name="Startcost">#N/A</definedName>
    <definedName name="Startlab">'[2]Start'!#REF!</definedName>
    <definedName name="tagger00">'[2]tag magnet'!#REF!</definedName>
    <definedName name="taggercost">#N/A</definedName>
    <definedName name="taggerlab">'[1]tagger'!$I$34</definedName>
    <definedName name="target00">'[2]target'!#REF!</definedName>
    <definedName name="targetcost">#N/A</definedName>
    <definedName name="targetlab">'[2]target'!#REF!</definedName>
    <definedName name="TDC00">'TDC'!#REF!</definedName>
    <definedName name="TDC01">'TDC'!$B$12</definedName>
    <definedName name="TDC02">'TDC'!$C$12</definedName>
    <definedName name="TDC03">'TDC'!$D$12</definedName>
    <definedName name="TDC04">'TDC'!$E$12</definedName>
    <definedName name="TDC05">'TDC'!$F$12</definedName>
    <definedName name="TDC06">'TDC'!$G$12</definedName>
    <definedName name="tof00">'[2]tof'!#REF!</definedName>
    <definedName name="tofcost">#N/A</definedName>
    <definedName name="toflab">#REF!</definedName>
    <definedName name="Total">'[2]DIRC'!#REF!</definedName>
    <definedName name="track00">'[1]Tracking'!$B$23</definedName>
    <definedName name="track01">'[1]Tracking'!$C$23</definedName>
    <definedName name="track02">'[1]Tracking'!$D$23</definedName>
    <definedName name="track03">'[1]Tracking'!$E$23</definedName>
    <definedName name="track04">'[1]Tracking'!$F$23</definedName>
    <definedName name="track05">'[1]Tracking'!$G$23</definedName>
    <definedName name="track06">'[1]Tracking'!$H$23</definedName>
    <definedName name="trackingcost">#N/A</definedName>
    <definedName name="tracklab">'[2]FDC'!#REF!</definedName>
    <definedName name="trigger00">'[2]trigger'!#REF!</definedName>
    <definedName name="upv00">'[2]UPV'!#REF!</definedName>
  </definedNames>
  <calcPr fullCalcOnLoad="1"/>
</workbook>
</file>

<file path=xl/sharedStrings.xml><?xml version="1.0" encoding="utf-8"?>
<sst xmlns="http://schemas.openxmlformats.org/spreadsheetml/2006/main" count="591" uniqueCount="250">
  <si>
    <t>16 Chan</t>
  </si>
  <si>
    <t>72 Chan</t>
  </si>
  <si>
    <t>32 Chan</t>
  </si>
  <si>
    <t>64 Chan</t>
  </si>
  <si>
    <t>12 Chan</t>
  </si>
  <si>
    <t>48 Chan</t>
  </si>
  <si>
    <t>21 Slot</t>
  </si>
  <si>
    <t>***DRAFT***DRAFT***DRAFT***</t>
  </si>
  <si>
    <t>CAEN?</t>
  </si>
  <si>
    <t>JLAB</t>
  </si>
  <si>
    <t>IU</t>
  </si>
  <si>
    <t>??</t>
  </si>
  <si>
    <t>VME64x</t>
  </si>
  <si>
    <t>CFD</t>
  </si>
  <si>
    <t>10 bit</t>
  </si>
  <si>
    <t>10-12bit</t>
  </si>
  <si>
    <t>62 ps</t>
  </si>
  <si>
    <t>125 ps</t>
  </si>
  <si>
    <t>PMT-SHV</t>
  </si>
  <si>
    <t>Chamber</t>
  </si>
  <si>
    <t>6U</t>
  </si>
  <si>
    <t>V1812</t>
  </si>
  <si>
    <t>250 FADC</t>
  </si>
  <si>
    <t>100Mhz</t>
  </si>
  <si>
    <t>F1TDC</t>
  </si>
  <si>
    <t>HV</t>
  </si>
  <si>
    <t>Crates</t>
  </si>
  <si>
    <t>Detector</t>
  </si>
  <si>
    <t>Type</t>
  </si>
  <si>
    <t>Channels</t>
  </si>
  <si>
    <t>Modules</t>
  </si>
  <si>
    <t>Racks</t>
  </si>
  <si>
    <t>Photon Tagger</t>
  </si>
  <si>
    <t>6U, 16 ch, 8 bit, 250 Msps FADC</t>
  </si>
  <si>
    <t xml:space="preserve"> </t>
  </si>
  <si>
    <t>6U, 32 ch, 62 ps TDC</t>
  </si>
  <si>
    <t>High Voltage</t>
  </si>
  <si>
    <t>8 ch CFD</t>
  </si>
  <si>
    <t>Upstream Photon Veto</t>
  </si>
  <si>
    <t>Start Counter</t>
  </si>
  <si>
    <t xml:space="preserve">   </t>
  </si>
  <si>
    <t xml:space="preserve">Central Drift </t>
  </si>
  <si>
    <t>6U, 16 ch, 125 Msps FADC</t>
  </si>
  <si>
    <t>Gas</t>
  </si>
  <si>
    <t>Forward Drift anodes</t>
  </si>
  <si>
    <t>6U, 64 ch, 125 ps TDC</t>
  </si>
  <si>
    <t>Forward Drift cathodes</t>
  </si>
  <si>
    <t>6U, 64 ch, 10 bit, 62.5 Msps FADC</t>
  </si>
  <si>
    <t>Cerenkov (gas)</t>
  </si>
  <si>
    <t>6U, 8 ch, 8 bit, 250 Msps FADC</t>
  </si>
  <si>
    <t>Time-of-flight</t>
  </si>
  <si>
    <t>Barrel Calorimeter   [Outer]</t>
  </si>
  <si>
    <t>6U, 8 ch, 8 bit, 250 Msps FADCw/sum</t>
  </si>
  <si>
    <t xml:space="preserve">                               [ Inner ]</t>
  </si>
  <si>
    <t xml:space="preserve">                               [ Outer ]</t>
  </si>
  <si>
    <t>SiPMT Bias Supplies</t>
  </si>
  <si>
    <t>Forward Calorimeter</t>
  </si>
  <si>
    <t>Cockcroft Walton control, misc</t>
  </si>
  <si>
    <t>Level 1 Trigger</t>
  </si>
  <si>
    <t>Totals</t>
  </si>
  <si>
    <t>DAQ type crates</t>
  </si>
  <si>
    <t>DISC type crates</t>
  </si>
  <si>
    <t>HV type crates</t>
  </si>
  <si>
    <t xml:space="preserve">HV Crate </t>
  </si>
  <si>
    <t>Total --&gt;</t>
  </si>
  <si>
    <t>Cerenkov Detector</t>
  </si>
  <si>
    <t>6U, 16 ch, 8 bit, 250 Msps</t>
  </si>
  <si>
    <t>Construction</t>
  </si>
  <si>
    <t>Total</t>
  </si>
  <si>
    <t>fadc-50k</t>
  </si>
  <si>
    <t>FADC</t>
  </si>
  <si>
    <t>Cal / 8 bit / 250 Mps</t>
  </si>
  <si>
    <t>10-12 bits / 125 Mps</t>
  </si>
  <si>
    <t>10-12 bits /  62.5 Mps</t>
  </si>
  <si>
    <t>Cal / 8 bit sum / 250 Mps</t>
  </si>
  <si>
    <t>Labor</t>
  </si>
  <si>
    <t>University Labor (man-weeks)</t>
  </si>
  <si>
    <t>professors</t>
  </si>
  <si>
    <t>gradudate students</t>
  </si>
  <si>
    <t>staff / grant</t>
  </si>
  <si>
    <t xml:space="preserve">staff / other </t>
  </si>
  <si>
    <t>Contributed University</t>
  </si>
  <si>
    <t>Visiting Users</t>
  </si>
  <si>
    <t>staff / project</t>
  </si>
  <si>
    <t xml:space="preserve">undergraduate students </t>
  </si>
  <si>
    <t>Fast Electronics Group</t>
  </si>
  <si>
    <t>Electrical engineer</t>
  </si>
  <si>
    <t>(not included in project cost)</t>
  </si>
  <si>
    <t>Hall D Technical Staff</t>
  </si>
  <si>
    <t>Electrical technician 1</t>
  </si>
  <si>
    <t>ADC</t>
  </si>
  <si>
    <t>Hall D Term</t>
  </si>
  <si>
    <t xml:space="preserve">Electrical Designer 3 </t>
  </si>
  <si>
    <t>Notes from Paul Smith 1/25/05</t>
  </si>
  <si>
    <t>id</t>
  </si>
  <si>
    <t>item</t>
  </si>
  <si>
    <t>duration</t>
  </si>
  <si>
    <t>cost</t>
  </si>
  <si>
    <t>elect</t>
  </si>
  <si>
    <t>contr</t>
  </si>
  <si>
    <t>Item</t>
  </si>
  <si>
    <t>Units</t>
  </si>
  <si>
    <t>Cost/unit</t>
  </si>
  <si>
    <t>Cost(k$)</t>
  </si>
  <si>
    <t>days</t>
  </si>
  <si>
    <t>weeks</t>
  </si>
  <si>
    <t>designer</t>
  </si>
  <si>
    <t>tech</t>
  </si>
  <si>
    <t>univ</t>
  </si>
  <si>
    <t>EA</t>
  </si>
  <si>
    <t xml:space="preserve">        Assemble pmt logic/signal analyzers</t>
  </si>
  <si>
    <t xml:space="preserve">        Implement pmt CODA libraries</t>
  </si>
  <si>
    <t xml:space="preserve">        Implement pmt feature extraction algorithms</t>
  </si>
  <si>
    <t xml:space="preserve">        Implement pmt energy-sum algorithms</t>
  </si>
  <si>
    <t>Average cost for two types of FADCs for schedule</t>
  </si>
  <si>
    <t>estimated times to receive, board test, crate test</t>
  </si>
  <si>
    <t>receive</t>
  </si>
  <si>
    <t>time</t>
  </si>
  <si>
    <t>board tst</t>
  </si>
  <si>
    <t>crate tst</t>
  </si>
  <si>
    <t xml:space="preserve">        Dry run of test pmt procedures</t>
  </si>
  <si>
    <t># / week</t>
  </si>
  <si>
    <t>(weeks)</t>
  </si>
  <si>
    <t xml:space="preserve">        Procure fADCs for pmts</t>
  </si>
  <si>
    <t>10-bit / 250 Mps</t>
  </si>
  <si>
    <t xml:space="preserve">        Receive fADCs for pmts</t>
  </si>
  <si>
    <t xml:space="preserve">        Burn-in fADCs for pmts</t>
  </si>
  <si>
    <t xml:space="preserve">        Single-board acceptance fADCs for pmts</t>
  </si>
  <si>
    <t xml:space="preserve">        Crate acceptance test for fADCs for pmts</t>
  </si>
  <si>
    <t>Notes from Chris 7/11/05 cost per board  ADJUSTED on 16 DEC 2006</t>
  </si>
  <si>
    <t xml:space="preserve">        Assembly of fADC pmt as part of trigger</t>
  </si>
  <si>
    <t xml:space="preserve">        Assemble DC logic/signal analyzers</t>
  </si>
  <si>
    <t xml:space="preserve">        Implement DC CODA libraries</t>
  </si>
  <si>
    <t xml:space="preserve">ADC (10 bits) </t>
  </si>
  <si>
    <t xml:space="preserve">        Implement DC feature extraction algorithms</t>
  </si>
  <si>
    <t xml:space="preserve">ADC (8 bits) </t>
  </si>
  <si>
    <t>8 bit chip will not be used</t>
  </si>
  <si>
    <t>FPGA</t>
  </si>
  <si>
    <t xml:space="preserve">        Dry run of test DC procedures</t>
  </si>
  <si>
    <t xml:space="preserve">        Procure fADCs for DCs</t>
  </si>
  <si>
    <t>Connectors</t>
  </si>
  <si>
    <t>Board</t>
  </si>
  <si>
    <t xml:space="preserve">        Receive fADCs for DCs</t>
  </si>
  <si>
    <t>Front Panel</t>
  </si>
  <si>
    <t xml:space="preserve">        Burn-in fADCs for DCs</t>
  </si>
  <si>
    <t>Assembly</t>
  </si>
  <si>
    <t xml:space="preserve">        Single-board acceptance of fADCs DCs</t>
  </si>
  <si>
    <t xml:space="preserve">        Crate acceptance tests of fADCs for DCs</t>
  </si>
  <si>
    <t>Total (8 bits)</t>
  </si>
  <si>
    <t>Cost/channel (8 bits)</t>
  </si>
  <si>
    <t>Cost/channel (10 bits)</t>
  </si>
  <si>
    <t>TDC-50</t>
  </si>
  <si>
    <t>TDC</t>
  </si>
  <si>
    <t>TDC (62 ps)</t>
  </si>
  <si>
    <t>TDC (125 ps)</t>
  </si>
  <si>
    <t xml:space="preserve">Electrical Designer 1 </t>
  </si>
  <si>
    <t xml:space="preserve">Electrical Designer 2 </t>
  </si>
  <si>
    <t>Physicists</t>
  </si>
  <si>
    <t>Coordinator (Detector )</t>
  </si>
  <si>
    <t>Electronics</t>
  </si>
  <si>
    <t>fudge durations for compatibility with m-w</t>
  </si>
  <si>
    <t>Need to check with Chris 2/3/05</t>
  </si>
  <si>
    <t>scientist</t>
  </si>
  <si>
    <t>Notes from Paul 3/8/05</t>
  </si>
  <si>
    <t xml:space="preserve">        Assemble logic/signal analyzers</t>
  </si>
  <si>
    <t xml:space="preserve">        Implement CODA libraries</t>
  </si>
  <si>
    <t xml:space="preserve">        Implement feature extraction algorithms</t>
  </si>
  <si>
    <t xml:space="preserve">        Dry run of test procedures</t>
  </si>
  <si>
    <t xml:space="preserve">        Procure TDCs</t>
  </si>
  <si>
    <t>JLAB F1TDC "Crate System"</t>
  </si>
  <si>
    <t>From Chris 2/3/05</t>
  </si>
  <si>
    <t>Quantity</t>
  </si>
  <si>
    <t>Cost per item</t>
  </si>
  <si>
    <t>Extended Cost</t>
  </si>
  <si>
    <t>Notes</t>
  </si>
  <si>
    <t xml:space="preserve">        Receive TDCs</t>
  </si>
  <si>
    <t>21 Slot powered VME64x Crate</t>
  </si>
  <si>
    <t xml:space="preserve">        Burn-in TDCs</t>
  </si>
  <si>
    <t>Assume 18 F1TDC modules per crate.  Price includes front panels &amp; assembly</t>
  </si>
  <si>
    <t xml:space="preserve">        Single-board acceptance of TDCs</t>
  </si>
  <si>
    <t>P2 Interface boards.  Includes parts and assembly</t>
  </si>
  <si>
    <t xml:space="preserve">        Crate acceptance tests of TDCs</t>
  </si>
  <si>
    <t>Interface cables from HUB to P2 cards</t>
  </si>
  <si>
    <t>Signal distribution HUB. Includes circuit board, components, and metal panel</t>
  </si>
  <si>
    <t>Motorola Cpu</t>
  </si>
  <si>
    <t>TOTAL</t>
  </si>
  <si>
    <t xml:space="preserve">crate cost (k$) </t>
  </si>
  <si>
    <t>Cost/chan</t>
  </si>
  <si>
    <t>Crate aux</t>
  </si>
  <si>
    <t>racks-50k</t>
  </si>
  <si>
    <t xml:space="preserve">DISC type crates would be eliminated if CFD were VME format.  </t>
  </si>
  <si>
    <t>Racks, crates</t>
  </si>
  <si>
    <t>crates</t>
  </si>
  <si>
    <t xml:space="preserve">Electrical Tech 4 </t>
  </si>
  <si>
    <t>Notes from Paul 2/9/05</t>
  </si>
  <si>
    <t>Notes from Chris 2/3/05</t>
  </si>
  <si>
    <t>Notes from Paul 1/31/05</t>
  </si>
  <si>
    <t xml:space="preserve">      Purchase crate DAQ type</t>
  </si>
  <si>
    <t xml:space="preserve">      Purchase ADC backplane</t>
  </si>
  <si>
    <t xml:space="preserve">      Purchase ADC clock distribution</t>
  </si>
  <si>
    <t xml:space="preserve">      Assemble ADC crates</t>
  </si>
  <si>
    <t>Crates DAQ type</t>
  </si>
  <si>
    <t xml:space="preserve">      Test ADC crates</t>
  </si>
  <si>
    <t>Crates DISC type</t>
  </si>
  <si>
    <t xml:space="preserve">      Purchase TDC auxiliaries</t>
  </si>
  <si>
    <t>ADC Clock distribution</t>
  </si>
  <si>
    <t xml:space="preserve">      Assemble TDC crates</t>
  </si>
  <si>
    <t xml:space="preserve">TDC crate auxiliaries </t>
  </si>
  <si>
    <t xml:space="preserve">      Test TDC crates</t>
  </si>
  <si>
    <t xml:space="preserve">      Purchase crate DISC type</t>
  </si>
  <si>
    <t xml:space="preserve">Racks </t>
  </si>
  <si>
    <t xml:space="preserve">      Purchase racks</t>
  </si>
  <si>
    <t>hv-50k</t>
  </si>
  <si>
    <t>HV mainframes</t>
  </si>
  <si>
    <t>HV Chambers cards</t>
  </si>
  <si>
    <t xml:space="preserve">HV PMTs </t>
  </si>
  <si>
    <t>CFDs</t>
  </si>
  <si>
    <t>This cost would be allocated to commercial VME module</t>
  </si>
  <si>
    <t>Electrical Tech 3</t>
  </si>
  <si>
    <t>paid</t>
  </si>
  <si>
    <t xml:space="preserve">        Assemble signal distribution CFD tests</t>
  </si>
  <si>
    <t xml:space="preserve">        Dry run of testing procedures  for CFDs</t>
  </si>
  <si>
    <t>HV Chamber (48 ch per card)</t>
  </si>
  <si>
    <t>HV PMTs (12 ch per card)</t>
  </si>
  <si>
    <t xml:space="preserve">        Procure CFDs</t>
  </si>
  <si>
    <t xml:space="preserve">        Receive CFDs</t>
  </si>
  <si>
    <t xml:space="preserve">        Single-board acceptance of CFDs</t>
  </si>
  <si>
    <t xml:space="preserve">        Crate acceptance test of CFDs</t>
  </si>
  <si>
    <t xml:space="preserve">        Assemble power for HV tests</t>
  </si>
  <si>
    <t xml:space="preserve">        Dry run of HV crate test</t>
  </si>
  <si>
    <t xml:space="preserve">        Procure  HV crates</t>
  </si>
  <si>
    <t xml:space="preserve">        Procure HV DC cards</t>
  </si>
  <si>
    <t xml:space="preserve">        Procure HV pmt cards</t>
  </si>
  <si>
    <t xml:space="preserve">        Receive HV cards and crates</t>
  </si>
  <si>
    <t xml:space="preserve">        Crate power tests of boards and crates</t>
  </si>
  <si>
    <t>Acceptance testing etc will still be needed if commercial module is selected</t>
  </si>
  <si>
    <t>Modified Table from Eltons Hall D Construction Profile</t>
  </si>
  <si>
    <t>Cal / 10 bit / 250 Mps</t>
  </si>
  <si>
    <t xml:space="preserve">There will be one other fADC design.  There are three </t>
  </si>
  <si>
    <t xml:space="preserve">other designs listed here.  The construction costs </t>
  </si>
  <si>
    <t xml:space="preserve">associated with the fADC for the drift chambers should </t>
  </si>
  <si>
    <t xml:space="preserve">reflect the number of modules.  The latest module </t>
  </si>
  <si>
    <t>count uses the 72 channel fADC idea.</t>
  </si>
  <si>
    <t>MODULES</t>
  </si>
  <si>
    <t>C. Cuevas</t>
  </si>
  <si>
    <t>12/17/2006  C. Cuevas</t>
  </si>
  <si>
    <t>20 Slot</t>
  </si>
  <si>
    <t>VXS</t>
  </si>
  <si>
    <t xml:space="preserve">VME64x &amp; VXS Crates </t>
  </si>
  <si>
    <t>ADC backplanes??? VXS Style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</si>
</sst>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dd\.\ mmm\ 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d\,\ yyyy"/>
    <numFmt numFmtId="180" formatCode="[$-409]d\-mmm\-yy;@"/>
    <numFmt numFmtId="181" formatCode="0.0E+00"/>
    <numFmt numFmtId="182" formatCode="0.0"/>
    <numFmt numFmtId="183" formatCode="0.000"/>
    <numFmt numFmtId="184" formatCode="&quot;$&quot;#,##0"/>
    <numFmt numFmtId="185" formatCode="&quot;$&quot;#,##0.00"/>
    <numFmt numFmtId="186" formatCode="0.0%"/>
    <numFmt numFmtId="187" formatCode="mm/dd/yy;@"/>
    <numFmt numFmtId="188" formatCode="#,##0.000"/>
  </numFmts>
  <fonts count="18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8"/>
      <name val="Arial"/>
      <family val="0"/>
    </font>
    <font>
      <b/>
      <sz val="10"/>
      <color indexed="8"/>
      <name val="helvetica"/>
      <family val="2"/>
    </font>
    <font>
      <sz val="10"/>
      <color indexed="8"/>
      <name val="Arial"/>
      <family val="0"/>
    </font>
    <font>
      <sz val="10"/>
      <color indexed="8"/>
      <name val="helvetica"/>
      <family val="2"/>
    </font>
    <font>
      <b/>
      <sz val="10"/>
      <color indexed="8"/>
      <name val="Arial"/>
      <family val="0"/>
    </font>
    <font>
      <b/>
      <sz val="11"/>
      <name val="Arial"/>
      <family val="2"/>
    </font>
    <font>
      <sz val="10"/>
      <name val="helvetica"/>
      <family val="2"/>
    </font>
    <font>
      <b/>
      <sz val="10"/>
      <color indexed="10"/>
      <name val="Arial"/>
      <family val="2"/>
    </font>
    <font>
      <b/>
      <sz val="11"/>
      <color indexed="17"/>
      <name val="helvetica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59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Dashed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>
        <color indexed="17"/>
      </left>
      <right>
        <color indexed="63"/>
      </right>
      <top style="mediumDashDot">
        <color indexed="17"/>
      </top>
      <bottom>
        <color indexed="63"/>
      </bottom>
    </border>
    <border>
      <left>
        <color indexed="63"/>
      </left>
      <right>
        <color indexed="63"/>
      </right>
      <top style="mediumDashDot">
        <color indexed="17"/>
      </top>
      <bottom>
        <color indexed="63"/>
      </bottom>
    </border>
    <border>
      <left>
        <color indexed="63"/>
      </left>
      <right style="mediumDashDot">
        <color indexed="17"/>
      </right>
      <top style="mediumDashDot">
        <color indexed="17"/>
      </top>
      <bottom>
        <color indexed="63"/>
      </bottom>
    </border>
    <border>
      <left style="medium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17"/>
      </right>
      <top>
        <color indexed="63"/>
      </top>
      <bottom>
        <color indexed="63"/>
      </bottom>
    </border>
    <border>
      <left style="mediumDashDot">
        <color indexed="17"/>
      </left>
      <right>
        <color indexed="63"/>
      </right>
      <top>
        <color indexed="63"/>
      </top>
      <bottom style="mediumDashDot">
        <color indexed="17"/>
      </bottom>
    </border>
    <border>
      <left>
        <color indexed="63"/>
      </left>
      <right>
        <color indexed="63"/>
      </right>
      <top>
        <color indexed="63"/>
      </top>
      <bottom style="mediumDashDot">
        <color indexed="17"/>
      </bottom>
    </border>
    <border>
      <left>
        <color indexed="63"/>
      </left>
      <right style="mediumDashDot">
        <color indexed="17"/>
      </right>
      <top>
        <color indexed="63"/>
      </top>
      <bottom style="mediumDashDot"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Dashed">
        <color indexed="57"/>
      </left>
      <right>
        <color indexed="63"/>
      </right>
      <top style="mediumDashed">
        <color indexed="57"/>
      </top>
      <bottom>
        <color indexed="63"/>
      </bottom>
    </border>
    <border>
      <left>
        <color indexed="63"/>
      </left>
      <right>
        <color indexed="63"/>
      </right>
      <top style="mediumDashed">
        <color indexed="57"/>
      </top>
      <bottom>
        <color indexed="63"/>
      </bottom>
    </border>
    <border>
      <left>
        <color indexed="63"/>
      </left>
      <right style="mediumDashed">
        <color indexed="57"/>
      </right>
      <top style="mediumDashed">
        <color indexed="57"/>
      </top>
      <bottom>
        <color indexed="63"/>
      </bottom>
    </border>
    <border>
      <left style="mediumDashed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7"/>
      </right>
      <top>
        <color indexed="63"/>
      </top>
      <bottom>
        <color indexed="63"/>
      </bottom>
    </border>
    <border>
      <left style="mediumDashed">
        <color indexed="57"/>
      </left>
      <right>
        <color indexed="63"/>
      </right>
      <top style="thin"/>
      <bottom style="thin"/>
    </border>
    <border>
      <left style="mediumDashed">
        <color indexed="57"/>
      </left>
      <right>
        <color indexed="63"/>
      </right>
      <top>
        <color indexed="63"/>
      </top>
      <bottom style="thin"/>
    </border>
    <border>
      <left style="mediumDashed">
        <color indexed="57"/>
      </left>
      <right>
        <color indexed="63"/>
      </right>
      <top style="thin"/>
      <bottom>
        <color indexed="63"/>
      </bottom>
    </border>
    <border>
      <left style="mediumDashed">
        <color indexed="57"/>
      </left>
      <right>
        <color indexed="63"/>
      </right>
      <top style="mediumDashed">
        <color indexed="17"/>
      </top>
      <bottom>
        <color indexed="63"/>
      </bottom>
    </border>
    <border>
      <left style="mediumDashed">
        <color indexed="57"/>
      </left>
      <right>
        <color indexed="63"/>
      </right>
      <top>
        <color indexed="63"/>
      </top>
      <bottom style="mediumDashed">
        <color indexed="57"/>
      </bottom>
    </border>
    <border>
      <left>
        <color indexed="63"/>
      </left>
      <right>
        <color indexed="63"/>
      </right>
      <top>
        <color indexed="63"/>
      </top>
      <bottom style="mediumDashed">
        <color indexed="57"/>
      </bottom>
    </border>
    <border>
      <left>
        <color indexed="63"/>
      </left>
      <right style="mediumDashed">
        <color indexed="57"/>
      </right>
      <top>
        <color indexed="63"/>
      </top>
      <bottom style="thin"/>
    </border>
    <border>
      <left>
        <color indexed="63"/>
      </left>
      <right style="mediumDashed">
        <color indexed="57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Dashed">
        <color indexed="57"/>
      </right>
      <top>
        <color indexed="63"/>
      </top>
      <bottom style="mediumDashed">
        <color indexed="57"/>
      </bottom>
    </border>
    <border>
      <left style="mediumDashed">
        <color indexed="17"/>
      </left>
      <right>
        <color indexed="63"/>
      </right>
      <top style="mediumDashed">
        <color indexed="17"/>
      </top>
      <bottom>
        <color indexed="63"/>
      </bottom>
    </border>
    <border>
      <left style="mediumDashed">
        <color indexed="17"/>
      </left>
      <right>
        <color indexed="63"/>
      </right>
      <top>
        <color indexed="63"/>
      </top>
      <bottom style="mediumDashed">
        <color indexed="1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10" fillId="0" borderId="0" xfId="22" applyFont="1">
      <alignment/>
      <protection/>
    </xf>
    <xf numFmtId="1" fontId="11" fillId="0" borderId="0" xfId="22" applyFont="1">
      <alignment/>
      <protection/>
    </xf>
    <xf numFmtId="1" fontId="0" fillId="0" borderId="0" xfId="22">
      <alignment/>
      <protection/>
    </xf>
    <xf numFmtId="1" fontId="11" fillId="0" borderId="0" xfId="22" applyFont="1" applyAlignment="1">
      <alignment horizontal="right"/>
      <protection/>
    </xf>
    <xf numFmtId="1" fontId="0" fillId="0" borderId="26" xfId="22" applyBorder="1" applyProtection="1">
      <alignment/>
      <protection locked="0"/>
    </xf>
    <xf numFmtId="1" fontId="12" fillId="0" borderId="0" xfId="22" applyFont="1">
      <alignment/>
      <protection/>
    </xf>
    <xf numFmtId="1" fontId="12" fillId="0" borderId="0" xfId="22" applyFont="1" applyAlignment="1">
      <alignment horizontal="right"/>
      <protection/>
    </xf>
    <xf numFmtId="1" fontId="0" fillId="0" borderId="0" xfId="22" applyAlignment="1" applyProtection="1">
      <alignment horizontal="right"/>
      <protection locked="0"/>
    </xf>
    <xf numFmtId="1" fontId="0" fillId="0" borderId="0" xfId="22" applyBorder="1" applyProtection="1">
      <alignment/>
      <protection locked="0"/>
    </xf>
    <xf numFmtId="1" fontId="12" fillId="0" borderId="0" xfId="22" applyFont="1">
      <alignment/>
      <protection/>
    </xf>
    <xf numFmtId="1" fontId="0" fillId="0" borderId="0" xfId="22" applyProtection="1">
      <alignment/>
      <protection/>
    </xf>
    <xf numFmtId="1" fontId="0" fillId="0" borderId="0" xfId="22" applyProtection="1">
      <alignment/>
      <protection locked="0"/>
    </xf>
    <xf numFmtId="1" fontId="13" fillId="0" borderId="0" xfId="22" applyFont="1">
      <alignment/>
      <protection/>
    </xf>
    <xf numFmtId="2" fontId="11" fillId="0" borderId="0" xfId="22" applyNumberFormat="1" applyFont="1">
      <alignment/>
      <protection/>
    </xf>
    <xf numFmtId="1" fontId="11" fillId="0" borderId="0" xfId="21" applyFont="1">
      <alignment/>
      <protection/>
    </xf>
    <xf numFmtId="1" fontId="0" fillId="0" borderId="0" xfId="21">
      <alignment/>
      <protection/>
    </xf>
    <xf numFmtId="1" fontId="11" fillId="0" borderId="0" xfId="21" applyFont="1" applyAlignment="1">
      <alignment horizontal="right"/>
      <protection/>
    </xf>
    <xf numFmtId="1" fontId="11" fillId="0" borderId="0" xfId="22" applyFont="1">
      <alignment/>
      <protection/>
    </xf>
    <xf numFmtId="1" fontId="11" fillId="0" borderId="0" xfId="22" applyNumberFormat="1" applyFont="1">
      <alignment/>
      <protection/>
    </xf>
    <xf numFmtId="1" fontId="0" fillId="0" borderId="0" xfId="22" applyNumberFormat="1" applyProtection="1">
      <alignment/>
      <protection/>
    </xf>
    <xf numFmtId="1" fontId="0" fillId="0" borderId="0" xfId="22" applyNumberFormat="1">
      <alignment/>
      <protection/>
    </xf>
    <xf numFmtId="1" fontId="11" fillId="0" borderId="0" xfId="22" applyNumberFormat="1" applyFont="1">
      <alignment/>
      <protection/>
    </xf>
    <xf numFmtId="1" fontId="11" fillId="0" borderId="0" xfId="22" applyFont="1" applyFill="1">
      <alignment/>
      <protection/>
    </xf>
    <xf numFmtId="1" fontId="0" fillId="0" borderId="0" xfId="22" applyFill="1">
      <alignment/>
      <protection/>
    </xf>
    <xf numFmtId="1" fontId="13" fillId="0" borderId="0" xfId="21" applyFont="1">
      <alignment/>
      <protection/>
    </xf>
    <xf numFmtId="182" fontId="11" fillId="0" borderId="0" xfId="21" applyNumberFormat="1" applyFont="1">
      <alignment/>
      <protection/>
    </xf>
    <xf numFmtId="182" fontId="0" fillId="0" borderId="0" xfId="21" applyNumberFormat="1">
      <alignment/>
      <protection/>
    </xf>
    <xf numFmtId="1" fontId="11" fillId="0" borderId="0" xfId="21" applyNumberFormat="1" applyFont="1">
      <alignment/>
      <protection/>
    </xf>
    <xf numFmtId="182" fontId="0" fillId="0" borderId="0" xfId="21" applyNumberFormat="1" applyFont="1" applyAlignment="1">
      <alignment horizontal="right"/>
      <protection/>
    </xf>
    <xf numFmtId="1" fontId="0" fillId="0" borderId="0" xfId="21" applyNumberFormat="1">
      <alignment/>
      <protection/>
    </xf>
    <xf numFmtId="1" fontId="11" fillId="0" borderId="0" xfId="21" applyFont="1">
      <alignment/>
      <protection/>
    </xf>
    <xf numFmtId="1" fontId="0" fillId="0" borderId="0" xfId="21" applyNumberFormat="1" applyFont="1">
      <alignment/>
      <protection/>
    </xf>
    <xf numFmtId="1" fontId="13" fillId="0" borderId="0" xfId="21" applyFont="1">
      <alignment/>
      <protection/>
    </xf>
    <xf numFmtId="182" fontId="0" fillId="0" borderId="0" xfId="21" applyNumberFormat="1" applyAlignment="1">
      <alignment horizontal="right"/>
      <protection/>
    </xf>
    <xf numFmtId="14" fontId="0" fillId="0" borderId="0" xfId="22" applyNumberFormat="1" applyAlignment="1">
      <alignment horizontal="left"/>
      <protection/>
    </xf>
    <xf numFmtId="2" fontId="0" fillId="0" borderId="0" xfId="22" applyNumberFormat="1">
      <alignment/>
      <protection/>
    </xf>
    <xf numFmtId="182" fontId="0" fillId="0" borderId="0" xfId="22" applyNumberFormat="1">
      <alignment/>
      <protection/>
    </xf>
    <xf numFmtId="183" fontId="0" fillId="0" borderId="0" xfId="22" applyNumberFormat="1">
      <alignment/>
      <protection/>
    </xf>
    <xf numFmtId="1" fontId="12" fillId="0" borderId="27" xfId="22" applyFont="1" applyBorder="1">
      <alignment/>
      <protection/>
    </xf>
    <xf numFmtId="1" fontId="0" fillId="0" borderId="28" xfId="22" applyBorder="1">
      <alignment/>
      <protection/>
    </xf>
    <xf numFmtId="1" fontId="0" fillId="0" borderId="29" xfId="22" applyBorder="1">
      <alignment/>
      <protection/>
    </xf>
    <xf numFmtId="1" fontId="0" fillId="0" borderId="30" xfId="22" applyBorder="1">
      <alignment/>
      <protection/>
    </xf>
    <xf numFmtId="1" fontId="0" fillId="0" borderId="0" xfId="22" applyBorder="1">
      <alignment/>
      <protection/>
    </xf>
    <xf numFmtId="1" fontId="0" fillId="0" borderId="31" xfId="22" applyBorder="1">
      <alignment/>
      <protection/>
    </xf>
    <xf numFmtId="1" fontId="12" fillId="0" borderId="30" xfId="22" applyFont="1" applyBorder="1">
      <alignment/>
      <protection/>
    </xf>
    <xf numFmtId="2" fontId="0" fillId="0" borderId="0" xfId="22" applyNumberFormat="1" applyBorder="1">
      <alignment/>
      <protection/>
    </xf>
    <xf numFmtId="1" fontId="12" fillId="0" borderId="32" xfId="22" applyFont="1" applyBorder="1">
      <alignment/>
      <protection/>
    </xf>
    <xf numFmtId="1" fontId="0" fillId="0" borderId="33" xfId="22" applyBorder="1">
      <alignment/>
      <protection/>
    </xf>
    <xf numFmtId="2" fontId="0" fillId="0" borderId="33" xfId="22" applyNumberFormat="1" applyBorder="1">
      <alignment/>
      <protection/>
    </xf>
    <xf numFmtId="1" fontId="0" fillId="0" borderId="34" xfId="22" applyBorder="1">
      <alignment/>
      <protection/>
    </xf>
    <xf numFmtId="1" fontId="0" fillId="0" borderId="0" xfId="21" applyAlignment="1">
      <alignment horizontal="right"/>
      <protection/>
    </xf>
    <xf numFmtId="1" fontId="0" fillId="0" borderId="0" xfId="21" applyFont="1" applyAlignment="1">
      <alignment horizontal="right"/>
      <protection/>
    </xf>
    <xf numFmtId="1" fontId="11" fillId="0" borderId="0" xfId="21" applyFont="1" applyAlignment="1">
      <alignment horizontal="left"/>
      <protection/>
    </xf>
    <xf numFmtId="1" fontId="14" fillId="0" borderId="0" xfId="22" applyFont="1">
      <alignment/>
      <protection/>
    </xf>
    <xf numFmtId="1" fontId="0" fillId="0" borderId="0" xfId="22" applyAlignment="1">
      <alignment/>
      <protection/>
    </xf>
    <xf numFmtId="1" fontId="2" fillId="0" borderId="0" xfId="22" applyFont="1" applyAlignment="1">
      <alignment horizontal="center"/>
      <protection/>
    </xf>
    <xf numFmtId="1" fontId="2" fillId="0" borderId="0" xfId="22" applyFont="1">
      <alignment/>
      <protection/>
    </xf>
    <xf numFmtId="1" fontId="0" fillId="0" borderId="0" xfId="22" applyAlignment="1">
      <alignment horizontal="center"/>
      <protection/>
    </xf>
    <xf numFmtId="184" fontId="0" fillId="0" borderId="0" xfId="22" applyNumberFormat="1">
      <alignment/>
      <protection/>
    </xf>
    <xf numFmtId="1" fontId="0" fillId="0" borderId="0" xfId="22" applyAlignment="1">
      <alignment wrapText="1"/>
      <protection/>
    </xf>
    <xf numFmtId="1" fontId="0" fillId="2" borderId="0" xfId="22" applyFill="1">
      <alignment/>
      <protection/>
    </xf>
    <xf numFmtId="1" fontId="2" fillId="0" borderId="0" xfId="22" applyFont="1" applyAlignment="1">
      <alignment wrapText="1"/>
      <protection/>
    </xf>
    <xf numFmtId="1" fontId="0" fillId="0" borderId="0" xfId="21" applyFont="1">
      <alignment/>
      <protection/>
    </xf>
    <xf numFmtId="1" fontId="11" fillId="2" borderId="0" xfId="21" applyFont="1" applyFill="1">
      <alignment/>
      <protection/>
    </xf>
    <xf numFmtId="2" fontId="0" fillId="2" borderId="0" xfId="22" applyNumberFormat="1" applyFill="1">
      <alignment/>
      <protection/>
    </xf>
    <xf numFmtId="182" fontId="0" fillId="2" borderId="0" xfId="22" applyNumberFormat="1" applyFill="1">
      <alignment/>
      <protection/>
    </xf>
    <xf numFmtId="1" fontId="12" fillId="2" borderId="0" xfId="22" applyFont="1" applyFill="1">
      <alignment/>
      <protection/>
    </xf>
    <xf numFmtId="1" fontId="11" fillId="2" borderId="0" xfId="22" applyFont="1" applyFill="1">
      <alignment/>
      <protection/>
    </xf>
    <xf numFmtId="1" fontId="10" fillId="2" borderId="0" xfId="22" applyFont="1" applyFill="1">
      <alignment/>
      <protection/>
    </xf>
    <xf numFmtId="1" fontId="5" fillId="0" borderId="0" xfId="22" applyFont="1" applyAlignment="1">
      <alignment wrapText="1"/>
      <protection/>
    </xf>
    <xf numFmtId="1" fontId="1" fillId="0" borderId="0" xfId="0" applyNumberFormat="1" applyFont="1" applyBorder="1" applyAlignment="1">
      <alignment horizontal="center"/>
    </xf>
    <xf numFmtId="1" fontId="0" fillId="3" borderId="35" xfId="0" applyNumberForma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1" fontId="15" fillId="2" borderId="0" xfId="22" applyFont="1" applyFill="1">
      <alignment/>
      <protection/>
    </xf>
    <xf numFmtId="1" fontId="0" fillId="2" borderId="0" xfId="22" applyFont="1" applyFill="1">
      <alignment/>
      <protection/>
    </xf>
    <xf numFmtId="2" fontId="0" fillId="2" borderId="0" xfId="22" applyNumberFormat="1" applyFont="1" applyFill="1">
      <alignment/>
      <protection/>
    </xf>
    <xf numFmtId="1" fontId="12" fillId="2" borderId="0" xfId="22" applyFont="1" applyFill="1">
      <alignment/>
      <protection/>
    </xf>
    <xf numFmtId="1" fontId="0" fillId="2" borderId="0" xfId="22" applyFill="1" applyProtection="1">
      <alignment/>
      <protection/>
    </xf>
    <xf numFmtId="1" fontId="5" fillId="4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1" fontId="0" fillId="0" borderId="7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35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16" fillId="0" borderId="0" xfId="22" applyFont="1">
      <alignment/>
      <protection/>
    </xf>
    <xf numFmtId="1" fontId="16" fillId="0" borderId="0" xfId="21" applyFont="1">
      <alignment/>
      <protection/>
    </xf>
    <xf numFmtId="1" fontId="12" fillId="2" borderId="30" xfId="22" applyFont="1" applyFill="1" applyBorder="1">
      <alignment/>
      <protection/>
    </xf>
    <xf numFmtId="1" fontId="0" fillId="2" borderId="0" xfId="22" applyFill="1" applyBorder="1">
      <alignment/>
      <protection/>
    </xf>
    <xf numFmtId="2" fontId="0" fillId="2" borderId="0" xfId="22" applyNumberFormat="1" applyFill="1" applyBorder="1">
      <alignment/>
      <protection/>
    </xf>
    <xf numFmtId="1" fontId="0" fillId="2" borderId="31" xfId="22" applyFill="1" applyBorder="1">
      <alignment/>
      <protection/>
    </xf>
    <xf numFmtId="1" fontId="15" fillId="0" borderId="0" xfId="22" applyFont="1" applyFill="1">
      <alignment/>
      <protection/>
    </xf>
    <xf numFmtId="1" fontId="0" fillId="0" borderId="0" xfId="22" applyFont="1" applyFill="1">
      <alignment/>
      <protection/>
    </xf>
    <xf numFmtId="183" fontId="0" fillId="0" borderId="0" xfId="22" applyNumberFormat="1" applyFont="1" applyFill="1">
      <alignment/>
      <protection/>
    </xf>
    <xf numFmtId="182" fontId="0" fillId="0" borderId="0" xfId="22" applyNumberFormat="1" applyFont="1" applyFill="1">
      <alignment/>
      <protection/>
    </xf>
    <xf numFmtId="1" fontId="2" fillId="2" borderId="0" xfId="22" applyFont="1" applyFill="1">
      <alignment/>
      <protection/>
    </xf>
    <xf numFmtId="1" fontId="1" fillId="0" borderId="40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1" fontId="2" fillId="3" borderId="45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1" fontId="3" fillId="0" borderId="43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" fontId="5" fillId="4" borderId="43" xfId="0" applyNumberFormat="1" applyFont="1" applyFill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" fontId="5" fillId="0" borderId="49" xfId="0" applyNumberFormat="1" applyFont="1" applyBorder="1" applyAlignment="1">
      <alignment/>
    </xf>
    <xf numFmtId="1" fontId="5" fillId="0" borderId="50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" fontId="5" fillId="4" borderId="35" xfId="0" applyNumberFormat="1" applyFont="1" applyFill="1" applyBorder="1" applyAlignment="1">
      <alignment horizontal="center"/>
    </xf>
    <xf numFmtId="1" fontId="2" fillId="4" borderId="52" xfId="0" applyNumberFormat="1" applyFont="1" applyFill="1" applyBorder="1" applyAlignment="1">
      <alignment/>
    </xf>
    <xf numFmtId="1" fontId="1" fillId="0" borderId="50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1" fontId="0" fillId="3" borderId="36" xfId="0" applyNumberFormat="1" applyFill="1" applyBorder="1" applyAlignment="1">
      <alignment horizontal="center"/>
    </xf>
    <xf numFmtId="1" fontId="3" fillId="0" borderId="53" xfId="0" applyNumberFormat="1" applyFont="1" applyBorder="1" applyAlignment="1">
      <alignment horizontal="center"/>
    </xf>
    <xf numFmtId="0" fontId="3" fillId="0" borderId="53" xfId="0" applyFont="1" applyBorder="1" applyAlignment="1">
      <alignment/>
    </xf>
    <xf numFmtId="1" fontId="3" fillId="0" borderId="54" xfId="0" applyNumberFormat="1" applyFont="1" applyFill="1" applyBorder="1" applyAlignment="1">
      <alignment horizontal="center"/>
    </xf>
    <xf numFmtId="1" fontId="3" fillId="0" borderId="55" xfId="0" applyNumberFormat="1" applyFont="1" applyFill="1" applyBorder="1" applyAlignment="1">
      <alignment horizontal="center"/>
    </xf>
    <xf numFmtId="0" fontId="3" fillId="0" borderId="51" xfId="0" applyFont="1" applyBorder="1" applyAlignment="1">
      <alignment/>
    </xf>
    <xf numFmtId="1" fontId="3" fillId="0" borderId="54" xfId="0" applyNumberFormat="1" applyFont="1" applyBorder="1" applyAlignment="1">
      <alignment horizontal="right"/>
    </xf>
    <xf numFmtId="1" fontId="3" fillId="0" borderId="55" xfId="0" applyNumberFormat="1" applyFont="1" applyBorder="1" applyAlignment="1">
      <alignment horizontal="right"/>
    </xf>
    <xf numFmtId="1" fontId="3" fillId="0" borderId="53" xfId="0" applyNumberFormat="1" applyFont="1" applyBorder="1" applyAlignment="1">
      <alignment horizontal="right"/>
    </xf>
    <xf numFmtId="1" fontId="1" fillId="0" borderId="56" xfId="0" applyNumberFormat="1" applyFont="1" applyFill="1" applyBorder="1" applyAlignment="1">
      <alignment horizontal="center"/>
    </xf>
    <xf numFmtId="1" fontId="5" fillId="0" borderId="56" xfId="0" applyNumberFormat="1" applyFont="1" applyBorder="1" applyAlignment="1">
      <alignment/>
    </xf>
    <xf numFmtId="0" fontId="0" fillId="0" borderId="57" xfId="0" applyBorder="1" applyAlignment="1">
      <alignment horizontal="right" wrapText="1"/>
    </xf>
    <xf numFmtId="0" fontId="0" fillId="0" borderId="58" xfId="0" applyBorder="1" applyAlignment="1">
      <alignment horizontal="right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" fontId="17" fillId="0" borderId="30" xfId="22" applyFont="1" applyBorder="1" applyAlignment="1">
      <alignment horizontal="left"/>
      <protection/>
    </xf>
    <xf numFmtId="1" fontId="17" fillId="0" borderId="0" xfId="22" applyFont="1" applyBorder="1" applyAlignment="1">
      <alignment horizontal="left"/>
      <protection/>
    </xf>
    <xf numFmtId="1" fontId="17" fillId="0" borderId="31" xfId="22" applyFont="1" applyBorder="1" applyAlignment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allDprofile" xfId="21"/>
    <cellStyle name="Normal_HallDprofilem_constrRC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UEVAS\LOCALS~1\TEMP\HallDpro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allDprofilem_constrR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nDFY06"/>
      <sheetName val="Manpower"/>
      <sheetName val="Halls A,B,C"/>
      <sheetName val="Manpower1"/>
      <sheetName val="MiscPersonnel"/>
      <sheetName val="Civil"/>
      <sheetName val="Beamline"/>
      <sheetName val="Beamlineb"/>
      <sheetName val="Solenoid"/>
      <sheetName val="Solenoidb"/>
      <sheetName val="Solenoidc"/>
      <sheetName val="Tracking"/>
      <sheetName val="Start"/>
      <sheetName val="barrel"/>
      <sheetName val="forward"/>
      <sheetName val="tof"/>
      <sheetName val="Cerenkov"/>
      <sheetName val="Computing"/>
      <sheetName val="Electronics"/>
      <sheetName val="tagger"/>
      <sheetName val="target"/>
      <sheetName val="Assembly"/>
      <sheetName val="cryogenics"/>
      <sheetName val="cbsep04"/>
      <sheetName val="cbfeb04"/>
      <sheetName val="cbdec03"/>
      <sheetName val="cbsep02"/>
      <sheetName val="cbnov01"/>
      <sheetName val="FTEs"/>
    </sheetNames>
    <sheetDataSet>
      <sheetData sheetId="8">
        <row r="17">
          <cell r="I17">
            <v>0.5754385964912281</v>
          </cell>
        </row>
      </sheetData>
      <sheetData sheetId="11">
        <row r="23">
          <cell r="B23">
            <v>40</v>
          </cell>
          <cell r="C23">
            <v>40</v>
          </cell>
          <cell r="D23">
            <v>200</v>
          </cell>
          <cell r="E23">
            <v>595.4</v>
          </cell>
          <cell r="F23">
            <v>1432.6000000000001</v>
          </cell>
          <cell r="G23">
            <v>845</v>
          </cell>
          <cell r="H23">
            <v>494</v>
          </cell>
        </row>
      </sheetData>
      <sheetData sheetId="17">
        <row r="18">
          <cell r="B18">
            <v>80</v>
          </cell>
          <cell r="C18">
            <v>80</v>
          </cell>
          <cell r="D18">
            <v>180</v>
          </cell>
          <cell r="E18">
            <v>130</v>
          </cell>
          <cell r="F18">
            <v>130</v>
          </cell>
          <cell r="G18">
            <v>573.3000000000001</v>
          </cell>
          <cell r="H18">
            <v>768.3000000000001</v>
          </cell>
        </row>
        <row r="20">
          <cell r="I20">
            <v>0</v>
          </cell>
        </row>
      </sheetData>
      <sheetData sheetId="18">
        <row r="17">
          <cell r="B17">
            <v>148</v>
          </cell>
          <cell r="C17">
            <v>100</v>
          </cell>
          <cell r="D17">
            <v>250</v>
          </cell>
          <cell r="E17">
            <v>780</v>
          </cell>
          <cell r="F17">
            <v>1040</v>
          </cell>
          <cell r="G17">
            <v>1146.6000000000001</v>
          </cell>
          <cell r="H17">
            <v>803.4</v>
          </cell>
        </row>
        <row r="19">
          <cell r="I19">
            <v>0</v>
          </cell>
        </row>
      </sheetData>
      <sheetData sheetId="19">
        <row r="34">
          <cell r="I34">
            <v>0.2888684452621895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BS"/>
      <sheetName val="Summary"/>
      <sheetName val="Jlab man"/>
      <sheetName val="chcount"/>
      <sheetName val="scratch"/>
      <sheetName val="Solenoid"/>
      <sheetName val="FDC"/>
      <sheetName val="CDC"/>
      <sheetName val="Start"/>
      <sheetName val="barrel"/>
      <sheetName val="fcal"/>
      <sheetName val="UPV"/>
      <sheetName val="tof"/>
      <sheetName val="Cerenkov"/>
      <sheetName val="DIRC"/>
      <sheetName val="daq"/>
      <sheetName val="online"/>
      <sheetName val="offline"/>
      <sheetName val="trigger"/>
      <sheetName val="tag magnet"/>
      <sheetName val="hodoscope"/>
      <sheetName val="target"/>
      <sheetName val="beamline"/>
      <sheetName val="assembly"/>
      <sheetName val="installation"/>
      <sheetName val="cryogenics"/>
      <sheetName val="testing "/>
      <sheetName val="Contingency Construction"/>
      <sheetName val="Risk"/>
      <sheetName val="spares"/>
      <sheetName val="contracts"/>
      <sheetName val="sources"/>
    </sheetNames>
    <sheetDataSet>
      <sheetData sheetId="3">
        <row r="41">
          <cell r="G41">
            <v>36</v>
          </cell>
          <cell r="I41">
            <v>376.875</v>
          </cell>
          <cell r="J41">
            <v>205</v>
          </cell>
          <cell r="K41">
            <v>166</v>
          </cell>
          <cell r="L41">
            <v>46</v>
          </cell>
        </row>
        <row r="43">
          <cell r="F43">
            <v>67</v>
          </cell>
        </row>
        <row r="44">
          <cell r="F44">
            <v>30</v>
          </cell>
        </row>
      </sheetData>
      <sheetData sheetId="14">
        <row r="18">
          <cell r="I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4">
      <selection activeCell="A48" sqref="A48"/>
    </sheetView>
  </sheetViews>
  <sheetFormatPr defaultColWidth="9.140625" defaultRowHeight="12.75"/>
  <cols>
    <col min="1" max="1" width="32.8515625" style="0" bestFit="1" customWidth="1"/>
    <col min="2" max="2" width="33.8515625" style="0" bestFit="1" customWidth="1"/>
    <col min="3" max="3" width="9.421875" style="0" bestFit="1" customWidth="1"/>
    <col min="4" max="4" width="8.57421875" style="0" bestFit="1" customWidth="1"/>
    <col min="5" max="5" width="7.8515625" style="0" bestFit="1" customWidth="1"/>
    <col min="6" max="6" width="6.28125" style="0" bestFit="1" customWidth="1"/>
    <col min="7" max="7" width="11.57421875" style="125" bestFit="1" customWidth="1"/>
    <col min="8" max="8" width="9.57421875" style="125" bestFit="1" customWidth="1"/>
    <col min="9" max="14" width="12.57421875" style="125" bestFit="1" customWidth="1"/>
  </cols>
  <sheetData>
    <row r="1" spans="1:15" ht="12.75">
      <c r="A1" t="s">
        <v>236</v>
      </c>
      <c r="G1" s="159" t="s">
        <v>0</v>
      </c>
      <c r="H1" s="160" t="s">
        <v>0</v>
      </c>
      <c r="I1" s="160" t="s">
        <v>1</v>
      </c>
      <c r="J1" s="160" t="s">
        <v>2</v>
      </c>
      <c r="K1" s="160" t="s">
        <v>3</v>
      </c>
      <c r="L1" s="160" t="s">
        <v>4</v>
      </c>
      <c r="M1" s="160" t="s">
        <v>5</v>
      </c>
      <c r="N1" s="116" t="s">
        <v>6</v>
      </c>
      <c r="O1" s="161" t="s">
        <v>246</v>
      </c>
    </row>
    <row r="2" spans="1:15" ht="12.75">
      <c r="A2" s="1" t="s">
        <v>7</v>
      </c>
      <c r="G2" s="162" t="s">
        <v>8</v>
      </c>
      <c r="H2" s="116" t="s">
        <v>9</v>
      </c>
      <c r="I2" s="116" t="s">
        <v>10</v>
      </c>
      <c r="J2" s="116" t="s">
        <v>9</v>
      </c>
      <c r="K2" s="116" t="s">
        <v>9</v>
      </c>
      <c r="L2" s="116" t="s">
        <v>11</v>
      </c>
      <c r="M2" s="116" t="s">
        <v>11</v>
      </c>
      <c r="N2" s="116" t="s">
        <v>12</v>
      </c>
      <c r="O2" s="163" t="s">
        <v>247</v>
      </c>
    </row>
    <row r="3" spans="1:15" ht="12.75">
      <c r="A3" s="2">
        <v>39068</v>
      </c>
      <c r="G3" s="162" t="s">
        <v>13</v>
      </c>
      <c r="H3" s="116" t="s">
        <v>14</v>
      </c>
      <c r="I3" s="116" t="s">
        <v>15</v>
      </c>
      <c r="J3" s="116" t="s">
        <v>16</v>
      </c>
      <c r="K3" s="116" t="s">
        <v>17</v>
      </c>
      <c r="L3" s="116" t="s">
        <v>18</v>
      </c>
      <c r="M3" s="116" t="s">
        <v>19</v>
      </c>
      <c r="N3" s="116" t="s">
        <v>20</v>
      </c>
      <c r="O3" s="163" t="s">
        <v>20</v>
      </c>
    </row>
    <row r="4" spans="1:15" ht="13.5" thickBot="1">
      <c r="A4" s="3" t="s">
        <v>244</v>
      </c>
      <c r="B4" s="3"/>
      <c r="C4" s="3"/>
      <c r="D4" s="3"/>
      <c r="E4" s="3"/>
      <c r="G4" s="162" t="s">
        <v>21</v>
      </c>
      <c r="H4" s="116" t="s">
        <v>22</v>
      </c>
      <c r="I4" s="116" t="s">
        <v>23</v>
      </c>
      <c r="J4" s="116" t="s">
        <v>24</v>
      </c>
      <c r="K4" s="116" t="s">
        <v>24</v>
      </c>
      <c r="L4" s="116" t="s">
        <v>25</v>
      </c>
      <c r="M4" s="116" t="s">
        <v>25</v>
      </c>
      <c r="N4" s="116" t="s">
        <v>26</v>
      </c>
      <c r="O4" s="163" t="s">
        <v>26</v>
      </c>
    </row>
    <row r="5" spans="1:15" ht="14.25" thickBot="1" thickTop="1">
      <c r="A5" s="4" t="s">
        <v>27</v>
      </c>
      <c r="B5" s="5" t="s">
        <v>28</v>
      </c>
      <c r="C5" s="6" t="s">
        <v>29</v>
      </c>
      <c r="D5" s="6" t="s">
        <v>30</v>
      </c>
      <c r="E5" s="6" t="s">
        <v>26</v>
      </c>
      <c r="F5" s="7" t="s">
        <v>31</v>
      </c>
      <c r="G5" s="164"/>
      <c r="H5" s="181"/>
      <c r="I5" s="117"/>
      <c r="J5" s="117"/>
      <c r="K5" s="117"/>
      <c r="L5" s="117"/>
      <c r="M5" s="117"/>
      <c r="N5" s="117"/>
      <c r="O5" s="181"/>
    </row>
    <row r="6" spans="1:15" ht="13.5" thickBot="1">
      <c r="A6" s="8" t="s">
        <v>32</v>
      </c>
      <c r="B6" s="9" t="s">
        <v>33</v>
      </c>
      <c r="C6" s="134">
        <v>250</v>
      </c>
      <c r="D6" s="134">
        <v>16</v>
      </c>
      <c r="E6" s="134">
        <v>1</v>
      </c>
      <c r="F6" s="135" t="s">
        <v>34</v>
      </c>
      <c r="G6" s="166"/>
      <c r="H6" s="182">
        <f>250/16</f>
        <v>15.625</v>
      </c>
      <c r="I6" s="118"/>
      <c r="J6" s="118"/>
      <c r="K6" s="118"/>
      <c r="L6" s="118"/>
      <c r="M6" s="118"/>
      <c r="N6" s="118" t="s">
        <v>34</v>
      </c>
      <c r="O6" s="183">
        <v>1</v>
      </c>
    </row>
    <row r="7" spans="1:15" ht="12.75">
      <c r="A7" s="9"/>
      <c r="B7" s="10" t="s">
        <v>35</v>
      </c>
      <c r="C7" s="134">
        <v>250</v>
      </c>
      <c r="D7" s="134">
        <v>8</v>
      </c>
      <c r="E7" s="134">
        <v>1</v>
      </c>
      <c r="F7" s="135"/>
      <c r="G7" s="166"/>
      <c r="H7" s="118"/>
      <c r="I7" s="118"/>
      <c r="J7" s="118">
        <v>8</v>
      </c>
      <c r="K7" s="118"/>
      <c r="L7" s="118"/>
      <c r="M7" s="118"/>
      <c r="N7" s="118">
        <v>1</v>
      </c>
      <c r="O7" s="180"/>
    </row>
    <row r="8" spans="1:15" ht="12.75">
      <c r="A8" s="11"/>
      <c r="B8" s="10" t="s">
        <v>36</v>
      </c>
      <c r="C8" s="134">
        <v>150</v>
      </c>
      <c r="D8" s="134">
        <f>C8/12</f>
        <v>12.5</v>
      </c>
      <c r="E8" s="134">
        <v>1</v>
      </c>
      <c r="F8" s="136"/>
      <c r="G8" s="166"/>
      <c r="H8" s="118"/>
      <c r="I8" s="118"/>
      <c r="J8" s="118"/>
      <c r="K8" s="118"/>
      <c r="L8" s="118">
        <f>150/12</f>
        <v>12.5</v>
      </c>
      <c r="M8" s="118"/>
      <c r="N8" s="118" t="s">
        <v>34</v>
      </c>
      <c r="O8" s="180"/>
    </row>
    <row r="9" spans="1:15" ht="13.5" thickBot="1">
      <c r="A9" s="12"/>
      <c r="B9" s="13" t="s">
        <v>37</v>
      </c>
      <c r="C9" s="137">
        <v>250</v>
      </c>
      <c r="D9" s="137">
        <v>32</v>
      </c>
      <c r="E9" s="137">
        <v>2</v>
      </c>
      <c r="F9" s="138">
        <v>2</v>
      </c>
      <c r="G9" s="167">
        <f>250/16</f>
        <v>15.625</v>
      </c>
      <c r="H9" s="118"/>
      <c r="I9" s="119"/>
      <c r="J9" s="119"/>
      <c r="K9" s="119"/>
      <c r="L9" s="119"/>
      <c r="M9" s="119"/>
      <c r="N9" s="119">
        <v>1</v>
      </c>
      <c r="O9" s="186"/>
    </row>
    <row r="10" spans="1:15" ht="13.5" thickBot="1">
      <c r="A10" s="11" t="s">
        <v>38</v>
      </c>
      <c r="B10" s="10" t="s">
        <v>33</v>
      </c>
      <c r="C10" s="134">
        <v>112</v>
      </c>
      <c r="D10" s="134">
        <v>2</v>
      </c>
      <c r="E10" s="134" t="s">
        <v>34</v>
      </c>
      <c r="F10" s="135" t="s">
        <v>34</v>
      </c>
      <c r="G10" s="166"/>
      <c r="H10" s="182">
        <f>112/16</f>
        <v>7</v>
      </c>
      <c r="I10" s="118"/>
      <c r="J10" s="118"/>
      <c r="K10" s="118"/>
      <c r="L10" s="118"/>
      <c r="M10" s="118"/>
      <c r="N10" s="120" t="s">
        <v>34</v>
      </c>
      <c r="O10" s="180"/>
    </row>
    <row r="11" spans="1:15" ht="13.5" thickBot="1">
      <c r="A11" s="15"/>
      <c r="B11" s="14" t="s">
        <v>36</v>
      </c>
      <c r="C11" s="137">
        <v>112</v>
      </c>
      <c r="D11" s="137">
        <v>2</v>
      </c>
      <c r="E11" s="134"/>
      <c r="F11" s="136"/>
      <c r="G11" s="166"/>
      <c r="H11" s="118"/>
      <c r="I11" s="118"/>
      <c r="J11" s="118"/>
      <c r="K11" s="118"/>
      <c r="L11" s="118">
        <f>112/12</f>
        <v>9.333333333333334</v>
      </c>
      <c r="M11" s="118"/>
      <c r="N11" s="118"/>
      <c r="O11" s="180"/>
    </row>
    <row r="12" spans="1:15" ht="13.5" thickBot="1">
      <c r="A12" s="16" t="s">
        <v>39</v>
      </c>
      <c r="B12" s="10" t="s">
        <v>33</v>
      </c>
      <c r="C12" s="134">
        <v>40</v>
      </c>
      <c r="D12" s="134">
        <v>3</v>
      </c>
      <c r="E12" s="134"/>
      <c r="F12" s="135"/>
      <c r="G12" s="166"/>
      <c r="H12" s="182">
        <f>40/16</f>
        <v>2.5</v>
      </c>
      <c r="I12" s="118"/>
      <c r="J12" s="118"/>
      <c r="K12" s="118"/>
      <c r="L12" s="118"/>
      <c r="M12" s="118"/>
      <c r="N12" s="118"/>
      <c r="O12" s="180"/>
    </row>
    <row r="13" spans="1:15" ht="13.5" thickBot="1">
      <c r="A13" s="17"/>
      <c r="B13" s="10" t="s">
        <v>35</v>
      </c>
      <c r="C13" s="134">
        <v>40</v>
      </c>
      <c r="D13" s="134">
        <v>2</v>
      </c>
      <c r="E13" s="137">
        <v>1</v>
      </c>
      <c r="F13" s="135"/>
      <c r="G13" s="166"/>
      <c r="H13" s="118"/>
      <c r="I13" s="118"/>
      <c r="J13" s="182">
        <v>2</v>
      </c>
      <c r="K13" s="118"/>
      <c r="L13" s="118"/>
      <c r="M13" s="118"/>
      <c r="N13" s="118"/>
      <c r="O13" s="183">
        <v>1</v>
      </c>
    </row>
    <row r="14" spans="1:15" ht="12.75">
      <c r="A14" s="18"/>
      <c r="B14" s="9" t="s">
        <v>36</v>
      </c>
      <c r="C14" s="134">
        <v>40</v>
      </c>
      <c r="D14" s="134">
        <v>4</v>
      </c>
      <c r="E14" s="139" t="s">
        <v>34</v>
      </c>
      <c r="F14" s="136"/>
      <c r="G14" s="166"/>
      <c r="H14" s="118"/>
      <c r="I14" s="118"/>
      <c r="J14" s="118"/>
      <c r="K14" s="118"/>
      <c r="L14" s="118">
        <v>4</v>
      </c>
      <c r="M14" s="118"/>
      <c r="N14" s="118" t="s">
        <v>34</v>
      </c>
      <c r="O14" s="180"/>
    </row>
    <row r="15" spans="1:15" ht="12.75">
      <c r="A15" s="13" t="s">
        <v>40</v>
      </c>
      <c r="B15" s="19" t="s">
        <v>37</v>
      </c>
      <c r="C15" s="140">
        <v>40</v>
      </c>
      <c r="D15" s="140">
        <v>5</v>
      </c>
      <c r="E15" s="137">
        <v>1</v>
      </c>
      <c r="F15" s="138">
        <v>1</v>
      </c>
      <c r="G15" s="167">
        <f>40/16</f>
        <v>2.5</v>
      </c>
      <c r="H15" s="119"/>
      <c r="I15" s="119"/>
      <c r="J15" s="119"/>
      <c r="K15" s="119"/>
      <c r="L15" s="119"/>
      <c r="M15" s="119"/>
      <c r="N15" s="119"/>
      <c r="O15" s="186"/>
    </row>
    <row r="16" spans="1:15" ht="12.75">
      <c r="A16" s="16" t="s">
        <v>41</v>
      </c>
      <c r="B16" s="10" t="s">
        <v>42</v>
      </c>
      <c r="C16" s="134">
        <v>3240</v>
      </c>
      <c r="D16" s="134">
        <v>203</v>
      </c>
      <c r="E16" s="141">
        <v>13</v>
      </c>
      <c r="F16" s="135" t="s">
        <v>34</v>
      </c>
      <c r="G16" s="166"/>
      <c r="H16" s="118"/>
      <c r="I16" s="118">
        <v>45</v>
      </c>
      <c r="J16" s="118"/>
      <c r="K16" s="118"/>
      <c r="L16" s="118"/>
      <c r="M16" s="118"/>
      <c r="N16" s="118">
        <v>3</v>
      </c>
      <c r="O16" s="180"/>
    </row>
    <row r="17" spans="1:15" ht="12.75">
      <c r="A17" s="9"/>
      <c r="B17" s="10" t="s">
        <v>36</v>
      </c>
      <c r="C17" s="134">
        <v>60</v>
      </c>
      <c r="D17" s="134">
        <v>2</v>
      </c>
      <c r="E17" s="134" t="s">
        <v>34</v>
      </c>
      <c r="F17" s="138">
        <v>5</v>
      </c>
      <c r="G17" s="166"/>
      <c r="H17" s="118"/>
      <c r="I17" s="118"/>
      <c r="J17" s="118"/>
      <c r="K17" s="118"/>
      <c r="L17" s="118"/>
      <c r="M17" s="118">
        <v>2</v>
      </c>
      <c r="N17" s="118"/>
      <c r="O17" s="180"/>
    </row>
    <row r="18" spans="1:15" ht="12.75">
      <c r="A18" s="15"/>
      <c r="B18" s="14" t="s">
        <v>43</v>
      </c>
      <c r="C18" s="137"/>
      <c r="D18" s="137"/>
      <c r="E18" s="137"/>
      <c r="F18" s="142">
        <v>2</v>
      </c>
      <c r="G18" s="167"/>
      <c r="H18" s="119"/>
      <c r="I18" s="119"/>
      <c r="J18" s="119"/>
      <c r="K18" s="119"/>
      <c r="L18" s="119"/>
      <c r="M18" s="119"/>
      <c r="N18" s="119"/>
      <c r="O18" s="186"/>
    </row>
    <row r="19" spans="1:15" ht="12.75">
      <c r="A19" s="16" t="s">
        <v>44</v>
      </c>
      <c r="B19" s="10" t="s">
        <v>45</v>
      </c>
      <c r="C19" s="134">
        <v>2900</v>
      </c>
      <c r="D19" s="134">
        <v>46</v>
      </c>
      <c r="E19" s="134">
        <v>3</v>
      </c>
      <c r="F19" s="135" t="s">
        <v>34</v>
      </c>
      <c r="G19" s="166"/>
      <c r="H19" s="118"/>
      <c r="I19" s="118"/>
      <c r="J19" s="118"/>
      <c r="K19" s="118">
        <v>46</v>
      </c>
      <c r="L19" s="118"/>
      <c r="M19" s="118"/>
      <c r="N19" s="118">
        <v>4</v>
      </c>
      <c r="O19" s="180"/>
    </row>
    <row r="20" spans="1:15" ht="12.75">
      <c r="A20" s="15"/>
      <c r="B20" s="14" t="s">
        <v>36</v>
      </c>
      <c r="C20" s="137">
        <v>300</v>
      </c>
      <c r="D20" s="137">
        <v>7</v>
      </c>
      <c r="E20" s="137">
        <v>1</v>
      </c>
      <c r="F20" s="138">
        <v>1</v>
      </c>
      <c r="G20" s="166"/>
      <c r="H20" s="118"/>
      <c r="I20" s="118"/>
      <c r="J20" s="118"/>
      <c r="K20" s="118"/>
      <c r="L20" s="118"/>
      <c r="M20" s="118">
        <f>300/48</f>
        <v>6.25</v>
      </c>
      <c r="N20" s="118"/>
      <c r="O20" s="180"/>
    </row>
    <row r="21" spans="1:15" ht="12.75">
      <c r="A21" s="11" t="s">
        <v>46</v>
      </c>
      <c r="B21" s="10" t="s">
        <v>47</v>
      </c>
      <c r="C21" s="134">
        <v>11400</v>
      </c>
      <c r="D21" s="134">
        <v>179</v>
      </c>
      <c r="E21" s="134">
        <v>12</v>
      </c>
      <c r="F21" s="143">
        <v>4</v>
      </c>
      <c r="G21" s="166"/>
      <c r="H21" s="118"/>
      <c r="I21" s="118">
        <v>160</v>
      </c>
      <c r="J21" s="118"/>
      <c r="K21" s="118"/>
      <c r="L21" s="118"/>
      <c r="M21" s="118"/>
      <c r="N21" s="118">
        <v>8</v>
      </c>
      <c r="O21" s="180"/>
    </row>
    <row r="22" spans="1:15" ht="12.75">
      <c r="A22" s="15"/>
      <c r="B22" s="14" t="s">
        <v>43</v>
      </c>
      <c r="C22" s="137"/>
      <c r="D22" s="137"/>
      <c r="E22" s="137"/>
      <c r="F22" s="142">
        <v>2</v>
      </c>
      <c r="G22" s="167"/>
      <c r="H22" s="119"/>
      <c r="I22" s="119"/>
      <c r="J22" s="119"/>
      <c r="K22" s="119"/>
      <c r="L22" s="119"/>
      <c r="M22" s="119"/>
      <c r="N22" s="119"/>
      <c r="O22" s="186"/>
    </row>
    <row r="23" spans="1:15" ht="12.75">
      <c r="A23" s="18" t="s">
        <v>48</v>
      </c>
      <c r="B23" s="23" t="s">
        <v>49</v>
      </c>
      <c r="C23" s="134">
        <v>40</v>
      </c>
      <c r="D23" s="134">
        <v>5</v>
      </c>
      <c r="E23" s="134"/>
      <c r="F23" s="135"/>
      <c r="G23" s="166"/>
      <c r="H23" s="118">
        <v>5</v>
      </c>
      <c r="I23" s="118"/>
      <c r="J23" s="118"/>
      <c r="K23" s="118"/>
      <c r="L23" s="118"/>
      <c r="M23" s="118"/>
      <c r="N23" s="118"/>
      <c r="O23" s="180"/>
    </row>
    <row r="24" spans="2:15" ht="12.75">
      <c r="B24" s="10" t="s">
        <v>37</v>
      </c>
      <c r="C24" s="134">
        <v>40</v>
      </c>
      <c r="D24" s="134">
        <v>5</v>
      </c>
      <c r="E24" s="137" t="s">
        <v>34</v>
      </c>
      <c r="F24" s="135"/>
      <c r="G24" s="166">
        <v>3</v>
      </c>
      <c r="H24" s="118" t="s">
        <v>34</v>
      </c>
      <c r="I24" s="118"/>
      <c r="J24" s="118"/>
      <c r="K24" s="118"/>
      <c r="L24" s="118"/>
      <c r="M24" s="118"/>
      <c r="N24" s="118">
        <v>1</v>
      </c>
      <c r="O24" s="180"/>
    </row>
    <row r="25" spans="2:15" ht="12.75">
      <c r="B25" s="10" t="s">
        <v>36</v>
      </c>
      <c r="C25" s="144">
        <v>40</v>
      </c>
      <c r="D25" s="134"/>
      <c r="E25" s="137">
        <v>1</v>
      </c>
      <c r="F25" s="135"/>
      <c r="G25" s="166"/>
      <c r="H25" s="118"/>
      <c r="I25" s="118"/>
      <c r="J25" s="118"/>
      <c r="K25" s="118" t="s">
        <v>34</v>
      </c>
      <c r="L25" s="118">
        <v>4</v>
      </c>
      <c r="M25" s="118"/>
      <c r="N25" s="118"/>
      <c r="O25" s="180"/>
    </row>
    <row r="26" spans="1:15" ht="12.75">
      <c r="A26" s="25"/>
      <c r="B26" s="14" t="s">
        <v>43</v>
      </c>
      <c r="C26" s="137"/>
      <c r="D26" s="137"/>
      <c r="E26" s="137">
        <v>1</v>
      </c>
      <c r="F26" s="142">
        <v>2</v>
      </c>
      <c r="G26" s="167"/>
      <c r="H26" s="119"/>
      <c r="I26" s="119"/>
      <c r="J26" s="119"/>
      <c r="K26" s="119"/>
      <c r="L26" s="119" t="s">
        <v>34</v>
      </c>
      <c r="M26" s="119"/>
      <c r="N26" s="119"/>
      <c r="O26" s="186"/>
    </row>
    <row r="27" spans="1:15" ht="13.5" thickBot="1">
      <c r="A27" s="16" t="s">
        <v>50</v>
      </c>
      <c r="B27" s="10" t="s">
        <v>37</v>
      </c>
      <c r="C27" s="134">
        <v>168</v>
      </c>
      <c r="D27" s="134">
        <v>21</v>
      </c>
      <c r="E27" s="141">
        <v>2</v>
      </c>
      <c r="F27" s="135"/>
      <c r="G27" s="168">
        <v>11</v>
      </c>
      <c r="H27" s="118"/>
      <c r="I27" s="118"/>
      <c r="J27" s="118"/>
      <c r="K27" s="118"/>
      <c r="L27" s="118"/>
      <c r="M27" s="118"/>
      <c r="N27" s="118">
        <v>1</v>
      </c>
      <c r="O27" s="180"/>
    </row>
    <row r="28" spans="2:15" ht="13.5" thickBot="1">
      <c r="B28" s="10" t="s">
        <v>35</v>
      </c>
      <c r="C28" s="134">
        <v>168</v>
      </c>
      <c r="D28" s="134">
        <v>6</v>
      </c>
      <c r="E28" s="139" t="s">
        <v>34</v>
      </c>
      <c r="F28" s="135" t="s">
        <v>34</v>
      </c>
      <c r="G28" s="166"/>
      <c r="H28" s="118"/>
      <c r="I28" s="118"/>
      <c r="J28" s="182">
        <v>6</v>
      </c>
      <c r="K28" s="118"/>
      <c r="L28" s="118"/>
      <c r="M28" s="118"/>
      <c r="N28" s="118"/>
      <c r="O28" s="180"/>
    </row>
    <row r="29" spans="1:15" ht="13.5" thickBot="1">
      <c r="A29" s="9"/>
      <c r="B29" s="10" t="s">
        <v>33</v>
      </c>
      <c r="C29" s="134">
        <v>168</v>
      </c>
      <c r="D29" s="134">
        <v>11</v>
      </c>
      <c r="E29" s="137">
        <v>1</v>
      </c>
      <c r="F29" s="135"/>
      <c r="G29" s="166"/>
      <c r="H29" s="182">
        <f>168/16</f>
        <v>10.5</v>
      </c>
      <c r="I29" s="118"/>
      <c r="J29" s="118"/>
      <c r="K29" s="118"/>
      <c r="L29" s="118"/>
      <c r="M29" s="118"/>
      <c r="N29" s="118" t="s">
        <v>34</v>
      </c>
      <c r="O29" s="183">
        <v>1</v>
      </c>
    </row>
    <row r="30" spans="1:15" ht="13.5" thickBot="1">
      <c r="A30" s="15"/>
      <c r="B30" s="14" t="s">
        <v>36</v>
      </c>
      <c r="C30" s="137">
        <v>168</v>
      </c>
      <c r="D30" s="137">
        <v>14</v>
      </c>
      <c r="E30" s="137">
        <v>1</v>
      </c>
      <c r="F30" s="142">
        <v>2</v>
      </c>
      <c r="G30" s="167"/>
      <c r="H30" s="118"/>
      <c r="I30" s="119"/>
      <c r="J30" s="119"/>
      <c r="K30" s="119"/>
      <c r="L30" s="119">
        <f>168/12</f>
        <v>14</v>
      </c>
      <c r="M30" s="119"/>
      <c r="N30" s="119"/>
      <c r="O30" s="180"/>
    </row>
    <row r="31" spans="1:15" ht="12.75">
      <c r="A31" s="26" t="s">
        <v>51</v>
      </c>
      <c r="B31" s="23" t="s">
        <v>52</v>
      </c>
      <c r="C31" s="134">
        <v>960</v>
      </c>
      <c r="D31" s="134">
        <f>960/8</f>
        <v>120</v>
      </c>
      <c r="E31" s="134">
        <v>8</v>
      </c>
      <c r="F31" s="135" t="s">
        <v>34</v>
      </c>
      <c r="G31" s="166"/>
      <c r="H31" s="184">
        <v>60</v>
      </c>
      <c r="I31" s="118"/>
      <c r="J31" s="118"/>
      <c r="K31" s="118"/>
      <c r="L31" s="118"/>
      <c r="M31" s="118"/>
      <c r="O31" s="187">
        <f>60/21</f>
        <v>2.857142857142857</v>
      </c>
    </row>
    <row r="32" spans="1:15" ht="13.5" thickBot="1">
      <c r="A32" s="27" t="s">
        <v>53</v>
      </c>
      <c r="B32" s="10"/>
      <c r="C32" s="134">
        <v>1920</v>
      </c>
      <c r="D32" s="134"/>
      <c r="E32" s="134"/>
      <c r="F32" s="135"/>
      <c r="G32" s="166"/>
      <c r="H32" s="185">
        <f>1920/16</f>
        <v>120</v>
      </c>
      <c r="I32" s="118"/>
      <c r="J32" s="118"/>
      <c r="K32" s="118"/>
      <c r="L32" s="118"/>
      <c r="M32" s="118"/>
      <c r="O32" s="188">
        <f>120/21</f>
        <v>5.714285714285714</v>
      </c>
    </row>
    <row r="33" spans="1:15" ht="12.75">
      <c r="A33" s="27" t="s">
        <v>54</v>
      </c>
      <c r="B33" s="10" t="s">
        <v>35</v>
      </c>
      <c r="C33" s="134">
        <v>960</v>
      </c>
      <c r="D33" s="134">
        <v>30</v>
      </c>
      <c r="E33" s="134">
        <v>2</v>
      </c>
      <c r="F33" s="136"/>
      <c r="G33" s="166"/>
      <c r="H33" s="118" t="s">
        <v>34</v>
      </c>
      <c r="I33" s="118"/>
      <c r="J33" s="118">
        <f>2880/32</f>
        <v>90</v>
      </c>
      <c r="K33" s="118"/>
      <c r="L33" s="118"/>
      <c r="M33" s="118"/>
      <c r="N33" s="118">
        <f>90/21</f>
        <v>4.285714285714286</v>
      </c>
      <c r="O33" s="180"/>
    </row>
    <row r="34" spans="1:15" ht="12.75">
      <c r="A34" s="27" t="s">
        <v>53</v>
      </c>
      <c r="B34" s="10"/>
      <c r="C34" s="134">
        <v>1920</v>
      </c>
      <c r="D34" s="134"/>
      <c r="E34" s="134"/>
      <c r="F34" s="136"/>
      <c r="G34" s="166"/>
      <c r="H34" s="118"/>
      <c r="I34" s="118"/>
      <c r="J34" s="118">
        <f>1920/32</f>
        <v>60</v>
      </c>
      <c r="K34" s="118"/>
      <c r="L34" s="118"/>
      <c r="M34" s="118"/>
      <c r="N34" s="118">
        <f>60/21</f>
        <v>2.857142857142857</v>
      </c>
      <c r="O34" s="180"/>
    </row>
    <row r="35" spans="1:15" ht="12.75">
      <c r="A35" s="28" t="s">
        <v>54</v>
      </c>
      <c r="B35" s="3" t="s">
        <v>37</v>
      </c>
      <c r="C35" s="135">
        <v>960</v>
      </c>
      <c r="D35" s="135">
        <v>120</v>
      </c>
      <c r="E35" s="135">
        <v>8</v>
      </c>
      <c r="F35" s="135">
        <v>6</v>
      </c>
      <c r="G35" s="166">
        <f>960/16</f>
        <v>60</v>
      </c>
      <c r="H35" s="118"/>
      <c r="I35" s="118"/>
      <c r="J35" s="118"/>
      <c r="K35" s="118"/>
      <c r="L35" s="118"/>
      <c r="M35" s="118"/>
      <c r="N35" s="118" t="s">
        <v>34</v>
      </c>
      <c r="O35" s="180"/>
    </row>
    <row r="36" spans="1:15" ht="12.75">
      <c r="A36" s="28" t="s">
        <v>53</v>
      </c>
      <c r="B36" s="3"/>
      <c r="C36" s="135">
        <v>1920</v>
      </c>
      <c r="D36" s="135"/>
      <c r="E36" s="135"/>
      <c r="F36" s="135"/>
      <c r="G36" s="166">
        <f>1920/16</f>
        <v>120</v>
      </c>
      <c r="H36" s="118"/>
      <c r="I36" s="118"/>
      <c r="J36" s="118"/>
      <c r="K36" s="118"/>
      <c r="L36" s="118"/>
      <c r="M36" s="118"/>
      <c r="N36" s="118">
        <f>180/21</f>
        <v>8.571428571428571</v>
      </c>
      <c r="O36" s="180"/>
    </row>
    <row r="37" spans="1:15" ht="13.5" thickBot="1">
      <c r="A37" s="27"/>
      <c r="B37" s="126" t="s">
        <v>55</v>
      </c>
      <c r="C37" s="137"/>
      <c r="D37" s="137"/>
      <c r="E37" s="137"/>
      <c r="F37" s="138"/>
      <c r="G37" s="167"/>
      <c r="H37" s="118"/>
      <c r="I37" s="119"/>
      <c r="J37" s="119"/>
      <c r="K37" s="119"/>
      <c r="L37" s="119"/>
      <c r="M37" s="119">
        <f>2880/48</f>
        <v>60</v>
      </c>
      <c r="N37" s="119"/>
      <c r="O37" s="180"/>
    </row>
    <row r="38" spans="1:15" ht="13.5" thickBot="1">
      <c r="A38" s="29" t="s">
        <v>56</v>
      </c>
      <c r="B38" s="23" t="s">
        <v>52</v>
      </c>
      <c r="C38" s="134">
        <v>2500</v>
      </c>
      <c r="D38" s="134">
        <v>313</v>
      </c>
      <c r="E38" s="134">
        <v>20</v>
      </c>
      <c r="F38" s="136">
        <v>7</v>
      </c>
      <c r="G38" s="166"/>
      <c r="H38" s="182">
        <f>2500/16</f>
        <v>156.25</v>
      </c>
      <c r="I38" s="118"/>
      <c r="J38" s="118"/>
      <c r="K38" s="118"/>
      <c r="L38" s="118"/>
      <c r="M38" s="118"/>
      <c r="O38" s="189">
        <f>156/16</f>
        <v>9.75</v>
      </c>
    </row>
    <row r="39" spans="1:15" ht="12.75">
      <c r="A39" s="15"/>
      <c r="B39" s="14" t="s">
        <v>57</v>
      </c>
      <c r="C39" s="137"/>
      <c r="D39" s="137"/>
      <c r="E39" s="137">
        <v>1</v>
      </c>
      <c r="F39" s="142">
        <v>1</v>
      </c>
      <c r="G39" s="167"/>
      <c r="H39" s="119"/>
      <c r="I39" s="119"/>
      <c r="J39" s="119"/>
      <c r="K39" s="119"/>
      <c r="L39" s="119"/>
      <c r="M39" s="119"/>
      <c r="N39" s="119"/>
      <c r="O39" s="175"/>
    </row>
    <row r="40" spans="1:15" ht="12.75">
      <c r="A40" s="30" t="s">
        <v>58</v>
      </c>
      <c r="B40" s="21"/>
      <c r="C40" s="141"/>
      <c r="D40" s="141"/>
      <c r="E40" s="141">
        <v>3</v>
      </c>
      <c r="F40" s="145">
        <v>1</v>
      </c>
      <c r="G40" s="169"/>
      <c r="H40" s="121"/>
      <c r="I40" s="121"/>
      <c r="J40" s="121"/>
      <c r="K40" s="121"/>
      <c r="L40" s="121"/>
      <c r="M40" s="121"/>
      <c r="N40" s="121"/>
      <c r="O40" s="176"/>
    </row>
    <row r="41" spans="1:16" ht="13.5" thickBot="1">
      <c r="A41" s="31" t="s">
        <v>59</v>
      </c>
      <c r="B41" s="32"/>
      <c r="C41" s="146">
        <f aca="true" t="shared" si="0" ref="C41:N41">SUM(C6:C40)</f>
        <v>31116</v>
      </c>
      <c r="D41" s="146">
        <f t="shared" si="0"/>
        <v>1168.5</v>
      </c>
      <c r="E41" s="146">
        <f t="shared" si="0"/>
        <v>84</v>
      </c>
      <c r="F41" s="147">
        <f t="shared" si="0"/>
        <v>36</v>
      </c>
      <c r="G41" s="170">
        <f t="shared" si="0"/>
        <v>212.125</v>
      </c>
      <c r="H41" s="132">
        <f t="shared" si="0"/>
        <v>376.875</v>
      </c>
      <c r="I41" s="132">
        <f t="shared" si="0"/>
        <v>205</v>
      </c>
      <c r="J41" s="132">
        <f t="shared" si="0"/>
        <v>166</v>
      </c>
      <c r="K41" s="132">
        <f t="shared" si="0"/>
        <v>46</v>
      </c>
      <c r="L41" s="132">
        <f t="shared" si="0"/>
        <v>43.833333333333336</v>
      </c>
      <c r="M41" s="132">
        <f t="shared" si="0"/>
        <v>68.25</v>
      </c>
      <c r="N41" s="177">
        <f t="shared" si="0"/>
        <v>34.714285714285715</v>
      </c>
      <c r="O41" s="178"/>
      <c r="P41" s="133" t="s">
        <v>243</v>
      </c>
    </row>
    <row r="42" spans="1:15" ht="13.5" thickTop="1">
      <c r="A42" s="33"/>
      <c r="B42" s="34"/>
      <c r="C42" s="135"/>
      <c r="D42" s="135"/>
      <c r="E42" s="135"/>
      <c r="F42" s="135"/>
      <c r="G42" s="171" t="s">
        <v>0</v>
      </c>
      <c r="H42" s="122" t="s">
        <v>0</v>
      </c>
      <c r="I42" s="122" t="s">
        <v>1</v>
      </c>
      <c r="J42" s="122" t="s">
        <v>2</v>
      </c>
      <c r="K42" s="122" t="s">
        <v>3</v>
      </c>
      <c r="L42" s="122" t="s">
        <v>4</v>
      </c>
      <c r="M42" s="122" t="s">
        <v>5</v>
      </c>
      <c r="N42" s="116" t="s">
        <v>6</v>
      </c>
      <c r="O42" s="161" t="s">
        <v>246</v>
      </c>
    </row>
    <row r="43" spans="1:15" ht="12.75">
      <c r="A43" s="35" t="s">
        <v>60</v>
      </c>
      <c r="B43" s="3"/>
      <c r="C43" s="125"/>
      <c r="D43" s="125"/>
      <c r="E43" s="125">
        <f>E6+E7+E13+E16+E19+E21+E55+E29+E31+E33+E38+E40</f>
        <v>67</v>
      </c>
      <c r="F43" s="125"/>
      <c r="G43" s="162" t="s">
        <v>8</v>
      </c>
      <c r="H43" s="116" t="s">
        <v>9</v>
      </c>
      <c r="I43" s="116" t="s">
        <v>10</v>
      </c>
      <c r="J43" s="116" t="s">
        <v>9</v>
      </c>
      <c r="K43" s="116" t="s">
        <v>9</v>
      </c>
      <c r="L43" s="116" t="s">
        <v>11</v>
      </c>
      <c r="M43" s="116" t="s">
        <v>11</v>
      </c>
      <c r="N43" s="116" t="s">
        <v>12</v>
      </c>
      <c r="O43" s="163" t="s">
        <v>247</v>
      </c>
    </row>
    <row r="44" spans="1:15" ht="12.75">
      <c r="A44" s="35" t="s">
        <v>61</v>
      </c>
      <c r="C44" s="125"/>
      <c r="D44" s="125"/>
      <c r="E44" s="125">
        <f>E9+E15+E53+E27+E35+E39</f>
        <v>30</v>
      </c>
      <c r="F44" s="125"/>
      <c r="G44" s="162" t="s">
        <v>13</v>
      </c>
      <c r="H44" s="116" t="s">
        <v>14</v>
      </c>
      <c r="I44" s="116" t="s">
        <v>15</v>
      </c>
      <c r="J44" s="116" t="s">
        <v>16</v>
      </c>
      <c r="K44" s="116" t="s">
        <v>17</v>
      </c>
      <c r="L44" s="116" t="s">
        <v>18</v>
      </c>
      <c r="M44" s="116" t="s">
        <v>19</v>
      </c>
      <c r="N44" s="116" t="s">
        <v>20</v>
      </c>
      <c r="O44" s="163" t="s">
        <v>20</v>
      </c>
    </row>
    <row r="45" spans="1:15" ht="13.5" thickBot="1">
      <c r="A45" s="36" t="s">
        <v>62</v>
      </c>
      <c r="B45" s="3"/>
      <c r="C45" s="135"/>
      <c r="D45" s="135"/>
      <c r="E45" s="135">
        <f>E8+E20+E25+E30</f>
        <v>4</v>
      </c>
      <c r="F45" s="135"/>
      <c r="G45" s="162" t="s">
        <v>21</v>
      </c>
      <c r="H45" s="116" t="s">
        <v>22</v>
      </c>
      <c r="I45" s="116" t="s">
        <v>23</v>
      </c>
      <c r="J45" s="116" t="s">
        <v>24</v>
      </c>
      <c r="K45" s="116" t="s">
        <v>24</v>
      </c>
      <c r="L45" s="116" t="s">
        <v>25</v>
      </c>
      <c r="M45" s="116" t="s">
        <v>25</v>
      </c>
      <c r="N45" s="179" t="s">
        <v>26</v>
      </c>
      <c r="O45" s="190" t="s">
        <v>26</v>
      </c>
    </row>
    <row r="46" spans="1:15" ht="12.75">
      <c r="A46" s="192" t="s">
        <v>63</v>
      </c>
      <c r="B46" s="37"/>
      <c r="C46" s="37"/>
      <c r="D46" s="37"/>
      <c r="E46" s="194" t="s">
        <v>64</v>
      </c>
      <c r="F46" s="38">
        <v>10</v>
      </c>
      <c r="G46" s="172"/>
      <c r="H46" s="123"/>
      <c r="I46" s="123"/>
      <c r="J46" s="123"/>
      <c r="K46" s="123"/>
      <c r="L46" s="124">
        <f>44/12</f>
        <v>3.6666666666666665</v>
      </c>
      <c r="M46" s="124">
        <f>68/12</f>
        <v>5.666666666666667</v>
      </c>
      <c r="N46" s="116"/>
      <c r="O46" s="165"/>
    </row>
    <row r="47" spans="1:15" ht="13.5" thickBot="1">
      <c r="A47" s="193" t="s">
        <v>248</v>
      </c>
      <c r="B47" s="39"/>
      <c r="C47" s="39"/>
      <c r="D47" s="39"/>
      <c r="E47" s="195" t="s">
        <v>64</v>
      </c>
      <c r="F47" s="40">
        <v>59</v>
      </c>
      <c r="G47" s="173"/>
      <c r="H47" s="174"/>
      <c r="I47" s="174"/>
      <c r="J47" s="174"/>
      <c r="K47" s="174"/>
      <c r="L47" s="174"/>
      <c r="M47" s="174"/>
      <c r="N47" s="174">
        <v>37</v>
      </c>
      <c r="O47" s="191">
        <v>22</v>
      </c>
    </row>
    <row r="48" spans="1:6" ht="12.75">
      <c r="A48" s="35"/>
      <c r="F48" s="41"/>
    </row>
    <row r="49" spans="1:6" ht="12.75">
      <c r="A49" s="35"/>
      <c r="F49" s="41"/>
    </row>
    <row r="50" spans="1:6" ht="12.75">
      <c r="A50" s="35"/>
      <c r="F50" s="41"/>
    </row>
    <row r="51" spans="1:6" ht="12.75">
      <c r="A51" s="35"/>
      <c r="F51" s="41"/>
    </row>
    <row r="52" spans="1:6" ht="12.75">
      <c r="A52" s="22"/>
      <c r="B52" s="22"/>
      <c r="C52" s="22"/>
      <c r="D52" s="22"/>
      <c r="E52" s="22"/>
      <c r="F52" s="22"/>
    </row>
    <row r="53" spans="1:6" ht="12.75">
      <c r="A53" s="11" t="s">
        <v>65</v>
      </c>
      <c r="B53" s="42" t="s">
        <v>37</v>
      </c>
      <c r="C53" s="42">
        <v>2000</v>
      </c>
      <c r="D53" s="42">
        <v>250</v>
      </c>
      <c r="E53" s="21">
        <v>16</v>
      </c>
      <c r="F53" s="43">
        <v>4</v>
      </c>
    </row>
    <row r="54" spans="1:6" ht="12.75">
      <c r="A54" s="9"/>
      <c r="B54" s="24" t="s">
        <v>66</v>
      </c>
      <c r="C54" s="24">
        <v>32</v>
      </c>
      <c r="D54" s="24">
        <v>2</v>
      </c>
      <c r="E54" s="10"/>
      <c r="F54" s="44"/>
    </row>
    <row r="55" spans="1:6" ht="12.75">
      <c r="A55" s="9"/>
      <c r="B55" s="24" t="s">
        <v>45</v>
      </c>
      <c r="C55" s="24">
        <v>2000</v>
      </c>
      <c r="D55" s="24">
        <v>32</v>
      </c>
      <c r="E55" s="13">
        <v>2</v>
      </c>
      <c r="F55" s="44"/>
    </row>
    <row r="56" spans="1:6" ht="12.75">
      <c r="A56" s="9"/>
      <c r="B56" s="24" t="s">
        <v>36</v>
      </c>
      <c r="C56" s="24">
        <v>32</v>
      </c>
      <c r="D56" s="24">
        <v>3</v>
      </c>
      <c r="E56" s="13">
        <v>1</v>
      </c>
      <c r="F56" s="45">
        <v>1</v>
      </c>
    </row>
    <row r="57" spans="1:6" ht="12.75">
      <c r="A57" s="13"/>
      <c r="B57" s="20" t="s">
        <v>43</v>
      </c>
      <c r="C57" s="14"/>
      <c r="D57" s="13"/>
      <c r="E57" s="13"/>
      <c r="F57" s="45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25">
      <selection activeCell="E73" sqref="E73"/>
    </sheetView>
  </sheetViews>
  <sheetFormatPr defaultColWidth="9.140625" defaultRowHeight="12.75"/>
  <cols>
    <col min="1" max="1" width="28.8515625" style="48" customWidth="1"/>
    <col min="2" max="2" width="9.140625" style="48" customWidth="1"/>
    <col min="3" max="3" width="8.57421875" style="48" customWidth="1"/>
    <col min="4" max="4" width="9.57421875" style="48" customWidth="1"/>
    <col min="5" max="5" width="9.140625" style="48" customWidth="1"/>
    <col min="6" max="6" width="9.00390625" style="48" customWidth="1"/>
    <col min="7" max="7" width="9.140625" style="48" customWidth="1"/>
    <col min="8" max="8" width="8.28125" style="48" customWidth="1"/>
    <col min="9" max="9" width="7.8515625" style="48" customWidth="1"/>
    <col min="10" max="10" width="11.421875" style="48" customWidth="1"/>
    <col min="11" max="11" width="8.421875" style="48" customWidth="1"/>
    <col min="12" max="12" width="11.421875" style="48" customWidth="1"/>
    <col min="13" max="13" width="45.7109375" style="48" customWidth="1"/>
    <col min="14" max="16384" width="11.421875" style="48" customWidth="1"/>
  </cols>
  <sheetData>
    <row r="1" spans="1:11" ht="12.75">
      <c r="A1" t="s">
        <v>236</v>
      </c>
      <c r="B1" s="46"/>
      <c r="C1" s="46"/>
      <c r="D1" s="47"/>
      <c r="E1" s="47"/>
      <c r="F1" s="47"/>
      <c r="G1" s="47"/>
      <c r="H1" s="47"/>
      <c r="I1" s="47"/>
      <c r="J1" s="47"/>
      <c r="K1" s="47"/>
    </row>
    <row r="2" spans="1:12" ht="12.75">
      <c r="A2" s="1" t="s">
        <v>7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</row>
    <row r="3" spans="1:10" ht="12.75">
      <c r="A3" s="2" t="s">
        <v>245</v>
      </c>
      <c r="B3" s="46"/>
      <c r="C3" s="47"/>
      <c r="D3" s="47"/>
      <c r="E3" s="47"/>
      <c r="F3" s="47"/>
      <c r="G3" s="47"/>
      <c r="H3" s="47"/>
      <c r="I3" s="47"/>
      <c r="J3" s="49" t="s">
        <v>67</v>
      </c>
    </row>
    <row r="4" spans="1:10" ht="12.75">
      <c r="A4" s="50"/>
      <c r="B4" s="51">
        <v>-1</v>
      </c>
      <c r="C4" s="51">
        <v>0</v>
      </c>
      <c r="D4" s="51">
        <v>1</v>
      </c>
      <c r="E4" s="51">
        <v>2</v>
      </c>
      <c r="F4" s="51">
        <v>3</v>
      </c>
      <c r="G4" s="51">
        <v>4</v>
      </c>
      <c r="H4" s="51">
        <v>5</v>
      </c>
      <c r="I4" s="52" t="s">
        <v>68</v>
      </c>
      <c r="J4" s="53" t="s">
        <v>68</v>
      </c>
    </row>
    <row r="5" spans="1:10" ht="12.75">
      <c r="A5" s="54"/>
      <c r="B5" s="51"/>
      <c r="C5" s="51"/>
      <c r="D5" s="51"/>
      <c r="E5" s="51"/>
      <c r="F5" s="51"/>
      <c r="G5" s="51"/>
      <c r="H5" s="51"/>
      <c r="I5" s="52"/>
      <c r="J5" s="53"/>
    </row>
    <row r="6" spans="1:10" ht="12.75">
      <c r="A6" s="47" t="s">
        <v>69</v>
      </c>
      <c r="B6" s="47"/>
      <c r="C6" s="47"/>
      <c r="D6" s="47">
        <f>D7-50</f>
        <v>315</v>
      </c>
      <c r="E6" s="47">
        <f>E7-50</f>
        <v>448</v>
      </c>
      <c r="F6" s="47">
        <f>F7-50</f>
        <v>514</v>
      </c>
      <c r="G6" s="47">
        <f>G7-50</f>
        <v>405</v>
      </c>
      <c r="H6" s="47"/>
      <c r="I6" s="47"/>
      <c r="J6" s="47"/>
    </row>
    <row r="7" spans="1:10" ht="12.75">
      <c r="A7" s="46" t="s">
        <v>70</v>
      </c>
      <c r="B7" s="46">
        <f aca="true" t="shared" si="0" ref="B7:J7">SUM(B8:B11)</f>
        <v>0</v>
      </c>
      <c r="C7" s="46">
        <f t="shared" si="0"/>
        <v>0</v>
      </c>
      <c r="D7" s="46">
        <f t="shared" si="0"/>
        <v>365</v>
      </c>
      <c r="E7" s="46">
        <f t="shared" si="0"/>
        <v>498</v>
      </c>
      <c r="F7" s="46">
        <f t="shared" si="0"/>
        <v>564</v>
      </c>
      <c r="G7" s="46">
        <f t="shared" si="0"/>
        <v>455</v>
      </c>
      <c r="H7" s="46"/>
      <c r="I7" s="46">
        <f t="shared" si="0"/>
        <v>1882</v>
      </c>
      <c r="J7" s="46">
        <f t="shared" si="0"/>
        <v>1882</v>
      </c>
    </row>
    <row r="8" spans="1:10" ht="12.75">
      <c r="A8" s="51" t="s">
        <v>237</v>
      </c>
      <c r="B8" s="55">
        <v>0</v>
      </c>
      <c r="C8" s="47">
        <v>0</v>
      </c>
      <c r="D8" s="48">
        <v>40</v>
      </c>
      <c r="E8" s="48">
        <v>44</v>
      </c>
      <c r="F8" s="48">
        <v>0</v>
      </c>
      <c r="G8" s="48">
        <v>0</v>
      </c>
      <c r="I8" s="47">
        <f>SUM(B8:G8)</f>
        <v>84</v>
      </c>
      <c r="J8" s="56">
        <f>SUM(D8:G8)</f>
        <v>84</v>
      </c>
    </row>
    <row r="9" spans="1:13" ht="12.75">
      <c r="A9" s="112" t="s">
        <v>72</v>
      </c>
      <c r="B9" s="130">
        <v>0</v>
      </c>
      <c r="C9" s="113">
        <v>0</v>
      </c>
      <c r="D9" s="130">
        <v>65</v>
      </c>
      <c r="E9" s="106">
        <v>200</v>
      </c>
      <c r="F9" s="106">
        <v>124</v>
      </c>
      <c r="G9" s="106">
        <v>0</v>
      </c>
      <c r="H9" s="106"/>
      <c r="I9" s="113">
        <f>SUM(B9:G9)</f>
        <v>389</v>
      </c>
      <c r="J9" s="131">
        <f>SUM(D9:G9)</f>
        <v>389</v>
      </c>
      <c r="K9" s="106"/>
      <c r="L9" s="106"/>
      <c r="M9" s="102" t="s">
        <v>238</v>
      </c>
    </row>
    <row r="10" spans="1:13" ht="12.75">
      <c r="A10" s="112" t="s">
        <v>73</v>
      </c>
      <c r="B10" s="130">
        <v>0</v>
      </c>
      <c r="C10" s="113">
        <v>0</v>
      </c>
      <c r="D10" s="130">
        <v>0</v>
      </c>
      <c r="E10" s="130">
        <v>0</v>
      </c>
      <c r="F10" s="106">
        <v>400</v>
      </c>
      <c r="G10" s="106">
        <v>455</v>
      </c>
      <c r="H10" s="106"/>
      <c r="I10" s="113">
        <f>SUM(B10:G10)</f>
        <v>855</v>
      </c>
      <c r="J10" s="131">
        <f>SUM(D10:G10)</f>
        <v>855</v>
      </c>
      <c r="K10" s="106"/>
      <c r="L10" s="106"/>
      <c r="M10" s="102" t="s">
        <v>239</v>
      </c>
    </row>
    <row r="11" spans="1:13" ht="12.75">
      <c r="A11" s="112" t="s">
        <v>74</v>
      </c>
      <c r="B11" s="130">
        <v>0</v>
      </c>
      <c r="C11" s="113">
        <v>0</v>
      </c>
      <c r="D11" s="106">
        <v>260</v>
      </c>
      <c r="E11" s="106">
        <v>254</v>
      </c>
      <c r="F11" s="106">
        <v>40</v>
      </c>
      <c r="G11" s="106">
        <v>0</v>
      </c>
      <c r="H11" s="106"/>
      <c r="I11" s="113">
        <f>SUM(B11:G11)</f>
        <v>554</v>
      </c>
      <c r="J11" s="131">
        <f>SUM(D11:G11)</f>
        <v>554</v>
      </c>
      <c r="K11" s="106"/>
      <c r="L11" s="106"/>
      <c r="M11" s="102" t="s">
        <v>240</v>
      </c>
    </row>
    <row r="12" spans="1:13" ht="12.75">
      <c r="A12" s="51" t="s">
        <v>75</v>
      </c>
      <c r="B12" s="55">
        <v>0</v>
      </c>
      <c r="C12" s="47">
        <v>0</v>
      </c>
      <c r="D12" s="51">
        <v>0</v>
      </c>
      <c r="E12" s="51">
        <v>0</v>
      </c>
      <c r="F12" s="51">
        <v>0</v>
      </c>
      <c r="G12" s="51">
        <v>0</v>
      </c>
      <c r="H12" s="51"/>
      <c r="I12" s="47">
        <f>SUM(B12:G12)</f>
        <v>0</v>
      </c>
      <c r="J12" s="56">
        <f>SUM(D12:G12)</f>
        <v>0</v>
      </c>
      <c r="M12" s="102" t="s">
        <v>241</v>
      </c>
    </row>
    <row r="13" spans="1:13" ht="12.75">
      <c r="A13" s="47"/>
      <c r="B13" s="47"/>
      <c r="C13" s="47"/>
      <c r="I13" s="47"/>
      <c r="J13" s="57"/>
      <c r="M13" s="102" t="s">
        <v>242</v>
      </c>
    </row>
    <row r="14" spans="1:10" ht="12.75">
      <c r="A14" s="46" t="s">
        <v>68</v>
      </c>
      <c r="B14" s="47">
        <f aca="true" t="shared" si="1" ref="B14:G14">SUM(B8:B13)</f>
        <v>0</v>
      </c>
      <c r="C14" s="47">
        <f t="shared" si="1"/>
        <v>0</v>
      </c>
      <c r="D14" s="47">
        <f t="shared" si="1"/>
        <v>365</v>
      </c>
      <c r="E14" s="47">
        <f t="shared" si="1"/>
        <v>498</v>
      </c>
      <c r="F14" s="47">
        <f t="shared" si="1"/>
        <v>564</v>
      </c>
      <c r="G14" s="47">
        <f t="shared" si="1"/>
        <v>455</v>
      </c>
      <c r="H14" s="47"/>
      <c r="I14" s="47">
        <f>SUM(B14:G14)</f>
        <v>1882</v>
      </c>
      <c r="J14" s="56">
        <f>SUM(D14:G14)</f>
        <v>1882</v>
      </c>
    </row>
    <row r="15" spans="1:10" ht="12.75">
      <c r="A15" s="47"/>
      <c r="B15" s="47"/>
      <c r="C15" s="47"/>
      <c r="E15" s="47"/>
      <c r="F15" s="47"/>
      <c r="G15" s="47"/>
      <c r="H15" s="47"/>
      <c r="I15" s="47"/>
      <c r="J15" s="47"/>
    </row>
    <row r="18" spans="1:10" ht="12.75">
      <c r="A18" s="58"/>
      <c r="B18" s="47"/>
      <c r="C18" s="47"/>
      <c r="D18" s="47"/>
      <c r="E18" s="47"/>
      <c r="F18" s="47"/>
      <c r="G18" s="47"/>
      <c r="H18" s="47"/>
      <c r="I18" s="59"/>
      <c r="J18" s="47" t="s">
        <v>67</v>
      </c>
    </row>
    <row r="19" spans="1:10" ht="12.75">
      <c r="A19" s="60"/>
      <c r="B19" s="61">
        <v>2006</v>
      </c>
      <c r="C19" s="61">
        <v>2007</v>
      </c>
      <c r="D19" s="61">
        <v>2008</v>
      </c>
      <c r="E19" s="61">
        <v>2009</v>
      </c>
      <c r="F19" s="61">
        <v>2010</v>
      </c>
      <c r="G19" s="61">
        <v>2011</v>
      </c>
      <c r="H19" s="61">
        <v>2012</v>
      </c>
      <c r="I19" s="62" t="s">
        <v>59</v>
      </c>
      <c r="J19" s="53" t="s">
        <v>68</v>
      </c>
    </row>
    <row r="20" spans="1:9" ht="12.75">
      <c r="A20" s="58" t="s">
        <v>76</v>
      </c>
      <c r="B20" s="47"/>
      <c r="C20" s="47"/>
      <c r="D20" s="47"/>
      <c r="E20" s="47"/>
      <c r="F20" s="47"/>
      <c r="G20" s="47"/>
      <c r="H20" s="47"/>
      <c r="I20" s="57"/>
    </row>
    <row r="21" spans="1:10" ht="12.75">
      <c r="A21" s="63" t="s">
        <v>77</v>
      </c>
      <c r="B21" s="64">
        <v>0</v>
      </c>
      <c r="C21" s="64">
        <v>0</v>
      </c>
      <c r="D21" s="64">
        <v>1</v>
      </c>
      <c r="E21" s="64">
        <v>4</v>
      </c>
      <c r="F21" s="64">
        <v>4</v>
      </c>
      <c r="G21" s="64">
        <v>4</v>
      </c>
      <c r="H21" s="64"/>
      <c r="I21" s="65">
        <f aca="true" t="shared" si="2" ref="I21:I28">SUM(B21:G21)</f>
        <v>13</v>
      </c>
      <c r="J21" s="66">
        <f aca="true" t="shared" si="3" ref="J21:J28">SUM(D21:G21)</f>
        <v>13</v>
      </c>
    </row>
    <row r="22" spans="1:10" ht="12.75">
      <c r="A22" s="63" t="s">
        <v>78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/>
      <c r="I22" s="65">
        <f t="shared" si="2"/>
        <v>0</v>
      </c>
      <c r="J22" s="66">
        <f t="shared" si="3"/>
        <v>0</v>
      </c>
    </row>
    <row r="23" spans="1:10" ht="12.75">
      <c r="A23" s="48" t="s">
        <v>79</v>
      </c>
      <c r="B23" s="64">
        <v>0</v>
      </c>
      <c r="C23" s="64">
        <v>0</v>
      </c>
      <c r="D23" s="64">
        <v>11</v>
      </c>
      <c r="E23" s="64">
        <v>44</v>
      </c>
      <c r="F23" s="64">
        <v>44</v>
      </c>
      <c r="G23" s="64">
        <v>44</v>
      </c>
      <c r="H23" s="64"/>
      <c r="I23" s="65">
        <f t="shared" si="2"/>
        <v>143</v>
      </c>
      <c r="J23" s="66">
        <f t="shared" si="3"/>
        <v>143</v>
      </c>
    </row>
    <row r="24" spans="1:10" ht="12.75">
      <c r="A24" s="63" t="s">
        <v>80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/>
      <c r="I24" s="65">
        <f t="shared" si="2"/>
        <v>0</v>
      </c>
      <c r="J24" s="66">
        <f t="shared" si="3"/>
        <v>0</v>
      </c>
    </row>
    <row r="25" spans="1:10" ht="12.75">
      <c r="A25" s="63" t="s">
        <v>81</v>
      </c>
      <c r="B25" s="67">
        <f aca="true" t="shared" si="4" ref="B25:G25">SUM(B21:B24)</f>
        <v>0</v>
      </c>
      <c r="C25" s="67">
        <f t="shared" si="4"/>
        <v>0</v>
      </c>
      <c r="D25" s="67">
        <f t="shared" si="4"/>
        <v>12</v>
      </c>
      <c r="E25" s="67">
        <f t="shared" si="4"/>
        <v>48</v>
      </c>
      <c r="F25" s="67">
        <f t="shared" si="4"/>
        <v>48</v>
      </c>
      <c r="G25" s="67">
        <f t="shared" si="4"/>
        <v>48</v>
      </c>
      <c r="H25" s="67"/>
      <c r="I25" s="65">
        <f t="shared" si="2"/>
        <v>156</v>
      </c>
      <c r="J25" s="66">
        <f t="shared" si="3"/>
        <v>156</v>
      </c>
    </row>
    <row r="26" spans="1:10" ht="12.75">
      <c r="A26" s="63" t="s">
        <v>82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/>
      <c r="I26" s="65">
        <f t="shared" si="2"/>
        <v>0</v>
      </c>
      <c r="J26" s="66">
        <f t="shared" si="3"/>
        <v>0</v>
      </c>
    </row>
    <row r="27" spans="1:10" ht="12.75">
      <c r="A27" s="68" t="s">
        <v>83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/>
      <c r="I27" s="65">
        <f t="shared" si="2"/>
        <v>0</v>
      </c>
      <c r="J27" s="66">
        <f t="shared" si="3"/>
        <v>0</v>
      </c>
    </row>
    <row r="28" spans="1:10" ht="12.75">
      <c r="A28" s="69" t="s">
        <v>84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/>
      <c r="I28" s="65">
        <f t="shared" si="2"/>
        <v>0</v>
      </c>
      <c r="J28" s="66">
        <f t="shared" si="3"/>
        <v>0</v>
      </c>
    </row>
    <row r="30" spans="1:10" ht="12.75">
      <c r="A30" s="70" t="s">
        <v>34</v>
      </c>
      <c r="B30" s="71"/>
      <c r="C30" s="71"/>
      <c r="D30" s="71"/>
      <c r="E30" s="71"/>
      <c r="F30" s="71"/>
      <c r="G30" s="71"/>
      <c r="H30" s="71"/>
      <c r="I30" s="72"/>
      <c r="J30" s="72"/>
    </row>
    <row r="31" spans="1:10" ht="12.75">
      <c r="A31" s="70" t="s">
        <v>85</v>
      </c>
      <c r="B31" s="73">
        <f aca="true" t="shared" si="5" ref="B31:G31">SUM(B32)</f>
        <v>0</v>
      </c>
      <c r="C31" s="73">
        <f t="shared" si="5"/>
        <v>0</v>
      </c>
      <c r="D31" s="73">
        <f t="shared" si="5"/>
        <v>22</v>
      </c>
      <c r="E31" s="73">
        <f t="shared" si="5"/>
        <v>88</v>
      </c>
      <c r="F31" s="73">
        <f t="shared" si="5"/>
        <v>0</v>
      </c>
      <c r="G31" s="73">
        <f t="shared" si="5"/>
        <v>0</v>
      </c>
      <c r="H31" s="71"/>
      <c r="I31" s="74" t="s">
        <v>59</v>
      </c>
      <c r="J31" s="75">
        <f>SUM(B31:G31)</f>
        <v>110</v>
      </c>
    </row>
    <row r="32" spans="1:10" ht="12.75">
      <c r="A32" s="76" t="s">
        <v>86</v>
      </c>
      <c r="B32" s="73">
        <v>0</v>
      </c>
      <c r="C32" s="73">
        <v>0</v>
      </c>
      <c r="D32" s="73">
        <v>22</v>
      </c>
      <c r="E32" s="73">
        <v>88</v>
      </c>
      <c r="F32" s="73">
        <v>0</v>
      </c>
      <c r="G32" s="73">
        <v>0</v>
      </c>
      <c r="H32" s="71"/>
      <c r="I32" s="72"/>
      <c r="J32" s="75">
        <f>SUM(B32:G32)</f>
        <v>110</v>
      </c>
    </row>
    <row r="33" spans="1:10" ht="12.75">
      <c r="A33" s="76" t="s">
        <v>87</v>
      </c>
      <c r="B33" s="73"/>
      <c r="C33" s="73"/>
      <c r="D33" s="73"/>
      <c r="E33" s="73"/>
      <c r="F33" s="73"/>
      <c r="G33" s="73"/>
      <c r="H33" s="71"/>
      <c r="I33" s="72"/>
      <c r="J33" s="77" t="s">
        <v>34</v>
      </c>
    </row>
    <row r="34" spans="1:10" ht="12.75">
      <c r="A34" s="76"/>
      <c r="B34" s="73"/>
      <c r="C34" s="73"/>
      <c r="D34" s="73"/>
      <c r="E34" s="73"/>
      <c r="F34" s="73"/>
      <c r="G34" s="73"/>
      <c r="H34" s="71"/>
      <c r="I34" s="72"/>
      <c r="J34" s="77"/>
    </row>
    <row r="35" spans="1:10" ht="12.75">
      <c r="A35" s="78" t="s">
        <v>88</v>
      </c>
      <c r="B35" s="73">
        <f aca="true" t="shared" si="6" ref="B35:G35">SUM(B36:B36)</f>
        <v>0</v>
      </c>
      <c r="C35" s="73">
        <f t="shared" si="6"/>
        <v>0</v>
      </c>
      <c r="D35" s="73">
        <f t="shared" si="6"/>
        <v>11</v>
      </c>
      <c r="E35" s="73">
        <f t="shared" si="6"/>
        <v>55</v>
      </c>
      <c r="F35" s="73">
        <f t="shared" si="6"/>
        <v>55</v>
      </c>
      <c r="G35" s="73">
        <f t="shared" si="6"/>
        <v>55</v>
      </c>
      <c r="H35" s="71"/>
      <c r="I35" s="79" t="s">
        <v>59</v>
      </c>
      <c r="J35" s="75">
        <f>SUM(B35:G35)</f>
        <v>176</v>
      </c>
    </row>
    <row r="36" spans="1:10" ht="12.75">
      <c r="A36" s="60" t="s">
        <v>89</v>
      </c>
      <c r="B36" s="73">
        <v>0</v>
      </c>
      <c r="C36" s="73">
        <v>0</v>
      </c>
      <c r="D36" s="73">
        <v>11</v>
      </c>
      <c r="E36" s="73">
        <v>55</v>
      </c>
      <c r="F36" s="73">
        <v>55</v>
      </c>
      <c r="G36" s="73">
        <v>55</v>
      </c>
      <c r="H36" s="71"/>
      <c r="I36" s="79" t="s">
        <v>90</v>
      </c>
      <c r="J36" s="75">
        <f>SUM(B36:G36)</f>
        <v>176</v>
      </c>
    </row>
    <row r="37" spans="1:10" ht="12.75">
      <c r="A37" s="61"/>
      <c r="B37" s="73"/>
      <c r="C37" s="75"/>
      <c r="D37" s="75"/>
      <c r="E37" s="75"/>
      <c r="F37" s="75"/>
      <c r="G37" s="75"/>
      <c r="H37" s="72"/>
      <c r="I37" s="79"/>
      <c r="J37" s="77" t="s">
        <v>34</v>
      </c>
    </row>
    <row r="38" spans="1:10" ht="12.75">
      <c r="A38" s="78" t="s">
        <v>91</v>
      </c>
      <c r="B38" s="75">
        <f aca="true" t="shared" si="7" ref="B38:G38">SUM(B39:B39)</f>
        <v>0</v>
      </c>
      <c r="C38" s="75">
        <f t="shared" si="7"/>
        <v>0</v>
      </c>
      <c r="D38" s="75">
        <f t="shared" si="7"/>
        <v>11</v>
      </c>
      <c r="E38" s="75">
        <f t="shared" si="7"/>
        <v>55</v>
      </c>
      <c r="F38" s="75">
        <f t="shared" si="7"/>
        <v>55</v>
      </c>
      <c r="G38" s="75">
        <f t="shared" si="7"/>
        <v>55</v>
      </c>
      <c r="H38" s="72"/>
      <c r="I38" s="74" t="s">
        <v>59</v>
      </c>
      <c r="J38" s="75">
        <f>SUM(B38:G38)</f>
        <v>176</v>
      </c>
    </row>
    <row r="39" spans="1:10" ht="12.75">
      <c r="A39" s="61" t="s">
        <v>92</v>
      </c>
      <c r="B39" s="73">
        <v>0</v>
      </c>
      <c r="C39" s="75">
        <v>0</v>
      </c>
      <c r="D39" s="75">
        <v>11</v>
      </c>
      <c r="E39" s="75">
        <v>55</v>
      </c>
      <c r="F39" s="75">
        <v>55</v>
      </c>
      <c r="G39" s="75">
        <v>55</v>
      </c>
      <c r="H39" s="72"/>
      <c r="I39" s="79" t="s">
        <v>90</v>
      </c>
      <c r="J39" s="75">
        <f>SUM(B39:G39)</f>
        <v>176</v>
      </c>
    </row>
    <row r="40" spans="1:10" ht="12.75">
      <c r="A40" s="61"/>
      <c r="B40" s="71"/>
      <c r="C40" s="71"/>
      <c r="D40" s="72"/>
      <c r="E40" s="72"/>
      <c r="F40" s="72"/>
      <c r="G40" s="72"/>
      <c r="H40" s="72"/>
      <c r="I40" s="79"/>
      <c r="J40" s="72"/>
    </row>
    <row r="42" spans="1:19" ht="12.75">
      <c r="A42" s="48" t="s">
        <v>93</v>
      </c>
      <c r="L42" s="48" t="s">
        <v>94</v>
      </c>
      <c r="M42" s="48" t="s">
        <v>95</v>
      </c>
      <c r="N42" s="48" t="s">
        <v>96</v>
      </c>
      <c r="O42" s="48" t="s">
        <v>96</v>
      </c>
      <c r="P42" s="48" t="s">
        <v>97</v>
      </c>
      <c r="Q42" s="48" t="s">
        <v>98</v>
      </c>
      <c r="R42" s="48" t="s">
        <v>98</v>
      </c>
      <c r="S42" s="48" t="s">
        <v>99</v>
      </c>
    </row>
    <row r="43" spans="1:19" ht="12.75">
      <c r="A43" s="48" t="s">
        <v>100</v>
      </c>
      <c r="B43" s="48" t="s">
        <v>29</v>
      </c>
      <c r="C43" s="48" t="s">
        <v>101</v>
      </c>
      <c r="D43" s="48" t="s">
        <v>102</v>
      </c>
      <c r="E43" s="48" t="s">
        <v>103</v>
      </c>
      <c r="M43" s="80">
        <v>38974</v>
      </c>
      <c r="N43" s="48" t="s">
        <v>104</v>
      </c>
      <c r="O43" s="48" t="s">
        <v>105</v>
      </c>
      <c r="Q43" s="48" t="s">
        <v>106</v>
      </c>
      <c r="R43" s="48" t="s">
        <v>107</v>
      </c>
      <c r="S43" s="48" t="s">
        <v>108</v>
      </c>
    </row>
    <row r="44" spans="1:5" ht="12.75">
      <c r="A44" s="51" t="s">
        <v>71</v>
      </c>
      <c r="B44" s="48">
        <f>nadc1</f>
        <v>376.875</v>
      </c>
      <c r="C44" s="48" t="s">
        <v>109</v>
      </c>
      <c r="D44" s="81">
        <v>0.16</v>
      </c>
      <c r="E44" s="48">
        <f>B44*D44</f>
        <v>60.300000000000004</v>
      </c>
    </row>
    <row r="45" spans="1:17" ht="12.75">
      <c r="A45" s="127" t="s">
        <v>72</v>
      </c>
      <c r="B45" s="128" t="e">
        <f>nadc2</f>
        <v>#REF!</v>
      </c>
      <c r="C45" s="128" t="s">
        <v>109</v>
      </c>
      <c r="D45" s="129">
        <v>0.12</v>
      </c>
      <c r="E45" s="128" t="e">
        <f>B45*D45</f>
        <v>#REF!</v>
      </c>
      <c r="L45" s="48">
        <v>110</v>
      </c>
      <c r="M45" s="48" t="s">
        <v>110</v>
      </c>
      <c r="N45" s="48">
        <v>25</v>
      </c>
      <c r="O45" s="82">
        <f>N45/5</f>
        <v>5</v>
      </c>
      <c r="Q45" s="48">
        <v>12</v>
      </c>
    </row>
    <row r="46" spans="1:19" ht="12.75">
      <c r="A46" s="127" t="s">
        <v>73</v>
      </c>
      <c r="B46" s="128">
        <f>nadc3</f>
        <v>205</v>
      </c>
      <c r="C46" s="128" t="s">
        <v>109</v>
      </c>
      <c r="D46" s="129">
        <v>0.075</v>
      </c>
      <c r="E46" s="128">
        <f>B46*D46</f>
        <v>15.375</v>
      </c>
      <c r="S46" s="48">
        <v>34</v>
      </c>
    </row>
    <row r="47" spans="1:17" ht="12.75">
      <c r="A47" s="51" t="s">
        <v>74</v>
      </c>
      <c r="B47" s="48" t="e">
        <f>nadc4</f>
        <v>#REF!</v>
      </c>
      <c r="C47" s="48" t="s">
        <v>109</v>
      </c>
      <c r="D47" s="81">
        <v>0.157</v>
      </c>
      <c r="E47" s="48" t="e">
        <f>B47*D47</f>
        <v>#REF!</v>
      </c>
      <c r="G47" s="48" t="s">
        <v>34</v>
      </c>
      <c r="L47" s="48">
        <v>120</v>
      </c>
      <c r="M47" s="48" t="s">
        <v>111</v>
      </c>
      <c r="N47" s="48">
        <v>25</v>
      </c>
      <c r="O47" s="82">
        <f>N47/5</f>
        <v>5</v>
      </c>
      <c r="Q47" s="48">
        <v>16</v>
      </c>
    </row>
    <row r="48" spans="12:17" ht="12.75">
      <c r="L48" s="48">
        <v>130</v>
      </c>
      <c r="M48" s="48" t="s">
        <v>112</v>
      </c>
      <c r="N48" s="48">
        <v>45</v>
      </c>
      <c r="O48" s="82">
        <f>N48/5</f>
        <v>9</v>
      </c>
      <c r="Q48" s="48">
        <v>20</v>
      </c>
    </row>
    <row r="49" spans="1:19" ht="12.75">
      <c r="A49" s="51" t="s">
        <v>68</v>
      </c>
      <c r="B49" s="48" t="e">
        <f>SUM(B44:B47)</f>
        <v>#REF!</v>
      </c>
      <c r="E49" s="48" t="e">
        <f>SUM(E44:E47)</f>
        <v>#REF!</v>
      </c>
      <c r="S49" s="48">
        <v>44</v>
      </c>
    </row>
    <row r="50" spans="12:17" ht="12.75">
      <c r="L50" s="48">
        <v>140</v>
      </c>
      <c r="M50" s="48" t="s">
        <v>113</v>
      </c>
      <c r="N50" s="48">
        <v>25</v>
      </c>
      <c r="O50" s="82">
        <f>N50/5</f>
        <v>5</v>
      </c>
      <c r="Q50" s="48">
        <v>20</v>
      </c>
    </row>
    <row r="51" spans="1:19" ht="12.75">
      <c r="A51" s="51" t="s">
        <v>114</v>
      </c>
      <c r="F51" s="48" t="s">
        <v>115</v>
      </c>
      <c r="S51" s="48">
        <v>44</v>
      </c>
    </row>
    <row r="52" spans="6:17" ht="12.75">
      <c r="F52" s="48" t="s">
        <v>116</v>
      </c>
      <c r="G52" s="48" t="s">
        <v>117</v>
      </c>
      <c r="H52" s="48" t="s">
        <v>118</v>
      </c>
      <c r="I52" s="48" t="s">
        <v>117</v>
      </c>
      <c r="J52" s="48" t="s">
        <v>119</v>
      </c>
      <c r="K52" s="48" t="s">
        <v>117</v>
      </c>
      <c r="L52" s="48">
        <v>150</v>
      </c>
      <c r="M52" s="48" t="s">
        <v>120</v>
      </c>
      <c r="N52" s="48">
        <v>25</v>
      </c>
      <c r="O52" s="82">
        <f>N52/5</f>
        <v>5</v>
      </c>
      <c r="Q52" s="48">
        <v>12</v>
      </c>
    </row>
    <row r="53" spans="1:16" ht="12.75">
      <c r="A53" s="48" t="s">
        <v>100</v>
      </c>
      <c r="B53" s="48" t="s">
        <v>29</v>
      </c>
      <c r="C53" s="48" t="s">
        <v>101</v>
      </c>
      <c r="D53" s="48" t="s">
        <v>102</v>
      </c>
      <c r="E53" s="48" t="s">
        <v>103</v>
      </c>
      <c r="F53" s="48" t="s">
        <v>121</v>
      </c>
      <c r="G53" s="48" t="s">
        <v>122</v>
      </c>
      <c r="H53" s="48" t="s">
        <v>121</v>
      </c>
      <c r="I53" s="48" t="s">
        <v>122</v>
      </c>
      <c r="J53" s="48" t="s">
        <v>121</v>
      </c>
      <c r="K53" s="48" t="s">
        <v>122</v>
      </c>
      <c r="L53" s="48">
        <v>210</v>
      </c>
      <c r="M53" s="48" t="s">
        <v>123</v>
      </c>
      <c r="N53" s="48">
        <v>130</v>
      </c>
      <c r="O53" s="82">
        <f>N53/5</f>
        <v>26</v>
      </c>
      <c r="P53" s="48">
        <v>100</v>
      </c>
    </row>
    <row r="54" spans="1:16" ht="12.75">
      <c r="A54" s="51" t="s">
        <v>124</v>
      </c>
      <c r="B54" s="48" t="e">
        <f>B44+B47</f>
        <v>#REF!</v>
      </c>
      <c r="C54" s="48" t="s">
        <v>109</v>
      </c>
      <c r="D54" s="83">
        <v>0.157</v>
      </c>
      <c r="E54" s="48" t="e">
        <f>B54*D54</f>
        <v>#REF!</v>
      </c>
      <c r="F54" s="48">
        <v>40</v>
      </c>
      <c r="G54" s="82" t="e">
        <f>B54/16/F54</f>
        <v>#REF!</v>
      </c>
      <c r="H54" s="48">
        <v>40</v>
      </c>
      <c r="I54" s="82" t="e">
        <f>B54/16/H54</f>
        <v>#REF!</v>
      </c>
      <c r="J54" s="48">
        <v>3</v>
      </c>
      <c r="K54" s="82" t="e">
        <f>B54/(16*20)/J54</f>
        <v>#REF!</v>
      </c>
      <c r="L54" s="48">
        <v>210</v>
      </c>
      <c r="O54" s="82"/>
      <c r="P54" s="48">
        <f>639-P53</f>
        <v>539</v>
      </c>
    </row>
    <row r="55" spans="1:18" ht="12.75">
      <c r="A55" s="154" t="s">
        <v>72</v>
      </c>
      <c r="B55" s="155" t="e">
        <f>B45+B46</f>
        <v>#REF!</v>
      </c>
      <c r="C55" s="155" t="s">
        <v>109</v>
      </c>
      <c r="D55" s="156">
        <v>0.085</v>
      </c>
      <c r="E55" s="155" t="e">
        <f>B55*D55</f>
        <v>#REF!</v>
      </c>
      <c r="F55" s="155">
        <v>40</v>
      </c>
      <c r="G55" s="157" t="e">
        <f>B55/16/F55</f>
        <v>#REF!</v>
      </c>
      <c r="H55" s="155">
        <v>40</v>
      </c>
      <c r="I55" s="157" t="e">
        <f>B55/16/H55</f>
        <v>#REF!</v>
      </c>
      <c r="J55" s="155">
        <v>3</v>
      </c>
      <c r="K55" s="157" t="e">
        <f>B55/(16*20)/J55</f>
        <v>#REF!</v>
      </c>
      <c r="L55" s="155">
        <v>220</v>
      </c>
      <c r="M55" s="48" t="s">
        <v>125</v>
      </c>
      <c r="N55" s="48">
        <v>35</v>
      </c>
      <c r="O55" s="82">
        <f aca="true" t="shared" si="8" ref="O55:O62">N55/5</f>
        <v>7</v>
      </c>
      <c r="R55" s="48">
        <v>11</v>
      </c>
    </row>
    <row r="56" spans="12:18" ht="13.5" thickBot="1">
      <c r="L56" s="48">
        <v>230</v>
      </c>
      <c r="M56" s="48" t="s">
        <v>126</v>
      </c>
      <c r="N56" s="48">
        <v>35</v>
      </c>
      <c r="O56" s="82">
        <f t="shared" si="8"/>
        <v>7</v>
      </c>
      <c r="R56" s="48">
        <v>11</v>
      </c>
    </row>
    <row r="57" spans="1:18" ht="12.75">
      <c r="A57" s="84" t="s">
        <v>68</v>
      </c>
      <c r="B57" s="85" t="e">
        <f>SUM(B54:B55)</f>
        <v>#REF!</v>
      </c>
      <c r="C57" s="85"/>
      <c r="D57" s="85"/>
      <c r="E57" s="85" t="e">
        <f>SUM(E54:E55)</f>
        <v>#REF!</v>
      </c>
      <c r="F57" s="86"/>
      <c r="L57" s="48">
        <v>240</v>
      </c>
      <c r="M57" s="48" t="s">
        <v>127</v>
      </c>
      <c r="N57" s="48">
        <v>35</v>
      </c>
      <c r="O57" s="82">
        <f t="shared" si="8"/>
        <v>7</v>
      </c>
      <c r="R57" s="48">
        <v>15</v>
      </c>
    </row>
    <row r="58" spans="1:18" ht="12.75">
      <c r="A58" s="87"/>
      <c r="B58" s="88"/>
      <c r="C58" s="88"/>
      <c r="D58" s="88"/>
      <c r="E58" s="88"/>
      <c r="F58" s="89"/>
      <c r="L58" s="48">
        <v>250</v>
      </c>
      <c r="M58" s="48" t="s">
        <v>128</v>
      </c>
      <c r="N58" s="48">
        <v>25</v>
      </c>
      <c r="O58" s="82">
        <f t="shared" si="8"/>
        <v>5</v>
      </c>
      <c r="R58" s="48">
        <v>11</v>
      </c>
    </row>
    <row r="59" spans="1:17" ht="15">
      <c r="A59" s="196" t="s">
        <v>129</v>
      </c>
      <c r="B59" s="197"/>
      <c r="C59" s="197"/>
      <c r="D59" s="197"/>
      <c r="E59" s="197"/>
      <c r="F59" s="198"/>
      <c r="L59" s="48">
        <v>260</v>
      </c>
      <c r="M59" s="48" t="s">
        <v>130</v>
      </c>
      <c r="N59" s="48">
        <v>65</v>
      </c>
      <c r="O59" s="82">
        <f t="shared" si="8"/>
        <v>13</v>
      </c>
      <c r="Q59" s="48">
        <v>28</v>
      </c>
    </row>
    <row r="60" spans="1:17" ht="12.75">
      <c r="A60" s="87"/>
      <c r="B60" s="88"/>
      <c r="C60" s="88"/>
      <c r="D60" s="88"/>
      <c r="E60" s="88"/>
      <c r="F60" s="89"/>
      <c r="L60" s="48">
        <v>310</v>
      </c>
      <c r="M60" s="48" t="s">
        <v>131</v>
      </c>
      <c r="N60" s="48">
        <v>25</v>
      </c>
      <c r="O60" s="82">
        <f t="shared" si="8"/>
        <v>5</v>
      </c>
      <c r="Q60" s="48">
        <v>16</v>
      </c>
    </row>
    <row r="61" spans="1:17" ht="12.75">
      <c r="A61" s="87" t="s">
        <v>100</v>
      </c>
      <c r="B61" s="88" t="s">
        <v>29</v>
      </c>
      <c r="C61" s="88" t="s">
        <v>101</v>
      </c>
      <c r="D61" s="88" t="s">
        <v>102</v>
      </c>
      <c r="E61" s="88" t="s">
        <v>103</v>
      </c>
      <c r="F61" s="89"/>
      <c r="L61" s="48">
        <v>320</v>
      </c>
      <c r="M61" s="48" t="s">
        <v>132</v>
      </c>
      <c r="N61" s="48">
        <v>25</v>
      </c>
      <c r="O61" s="82">
        <f t="shared" si="8"/>
        <v>5</v>
      </c>
      <c r="Q61" s="48">
        <v>12</v>
      </c>
    </row>
    <row r="62" spans="1:17" ht="12.75">
      <c r="A62" s="90" t="s">
        <v>133</v>
      </c>
      <c r="B62" s="88">
        <v>16</v>
      </c>
      <c r="C62" s="88" t="s">
        <v>109</v>
      </c>
      <c r="D62" s="91">
        <v>0.065</v>
      </c>
      <c r="E62" s="91">
        <f aca="true" t="shared" si="9" ref="E62:E69">B62*D62</f>
        <v>1.04</v>
      </c>
      <c r="F62" s="89"/>
      <c r="L62" s="48">
        <v>330</v>
      </c>
      <c r="M62" s="48" t="s">
        <v>134</v>
      </c>
      <c r="N62" s="48">
        <v>25</v>
      </c>
      <c r="O62" s="82">
        <f t="shared" si="8"/>
        <v>5</v>
      </c>
      <c r="Q62" s="48">
        <v>12</v>
      </c>
    </row>
    <row r="63" spans="1:19" ht="12.75">
      <c r="A63" s="150" t="s">
        <v>135</v>
      </c>
      <c r="B63" s="151" t="s">
        <v>34</v>
      </c>
      <c r="C63" s="151" t="s">
        <v>34</v>
      </c>
      <c r="D63" s="152" t="s">
        <v>34</v>
      </c>
      <c r="E63" s="152" t="s">
        <v>34</v>
      </c>
      <c r="F63" s="153"/>
      <c r="G63" s="106" t="s">
        <v>136</v>
      </c>
      <c r="H63" s="106"/>
      <c r="I63" s="106"/>
      <c r="S63" s="48">
        <v>34</v>
      </c>
    </row>
    <row r="64" spans="1:17" ht="12.75">
      <c r="A64" s="90" t="s">
        <v>137</v>
      </c>
      <c r="B64" s="88">
        <v>4</v>
      </c>
      <c r="C64" s="88" t="s">
        <v>109</v>
      </c>
      <c r="D64" s="91">
        <v>0.375</v>
      </c>
      <c r="E64" s="91">
        <f t="shared" si="9"/>
        <v>1.5</v>
      </c>
      <c r="F64" s="89"/>
      <c r="L64" s="48">
        <v>340</v>
      </c>
      <c r="M64" s="48" t="s">
        <v>138</v>
      </c>
      <c r="N64" s="48">
        <v>25</v>
      </c>
      <c r="O64" s="82">
        <f>N64/5</f>
        <v>5</v>
      </c>
      <c r="Q64" s="48">
        <v>28</v>
      </c>
    </row>
    <row r="65" spans="1:16" ht="12.75">
      <c r="A65" s="90" t="s">
        <v>137</v>
      </c>
      <c r="B65" s="88">
        <v>1</v>
      </c>
      <c r="C65" s="88" t="s">
        <v>109</v>
      </c>
      <c r="D65" s="91">
        <v>0.225</v>
      </c>
      <c r="E65" s="91">
        <f t="shared" si="9"/>
        <v>0.225</v>
      </c>
      <c r="F65" s="89"/>
      <c r="L65" s="48">
        <v>410</v>
      </c>
      <c r="M65" s="48" t="s">
        <v>139</v>
      </c>
      <c r="N65" s="48">
        <v>130</v>
      </c>
      <c r="O65" s="82">
        <f>N65/5</f>
        <v>26</v>
      </c>
      <c r="P65" s="48">
        <v>100</v>
      </c>
    </row>
    <row r="66" spans="1:16" ht="12.75">
      <c r="A66" s="90" t="s">
        <v>140</v>
      </c>
      <c r="B66" s="88">
        <v>1</v>
      </c>
      <c r="C66" s="88" t="s">
        <v>109</v>
      </c>
      <c r="D66" s="91">
        <v>0.2</v>
      </c>
      <c r="E66" s="91">
        <f t="shared" si="9"/>
        <v>0.2</v>
      </c>
      <c r="F66" s="89"/>
      <c r="L66" s="48">
        <v>410</v>
      </c>
      <c r="O66" s="82"/>
      <c r="P66" s="48">
        <f>1244-P65</f>
        <v>1144</v>
      </c>
    </row>
    <row r="67" spans="1:18" ht="12.75">
      <c r="A67" s="90" t="s">
        <v>141</v>
      </c>
      <c r="B67" s="88">
        <v>1</v>
      </c>
      <c r="C67" s="88" t="s">
        <v>109</v>
      </c>
      <c r="D67" s="91">
        <v>0.75</v>
      </c>
      <c r="E67" s="91">
        <f t="shared" si="9"/>
        <v>0.75</v>
      </c>
      <c r="F67" s="89"/>
      <c r="L67" s="48">
        <v>420</v>
      </c>
      <c r="M67" s="48" t="s">
        <v>142</v>
      </c>
      <c r="N67" s="48">
        <v>130</v>
      </c>
      <c r="O67" s="82">
        <f>N67/5</f>
        <v>26</v>
      </c>
      <c r="R67" s="48">
        <v>32</v>
      </c>
    </row>
    <row r="68" spans="1:18" ht="12.75">
      <c r="A68" s="90" t="s">
        <v>143</v>
      </c>
      <c r="B68" s="88">
        <v>1</v>
      </c>
      <c r="C68" s="88" t="s">
        <v>109</v>
      </c>
      <c r="D68" s="91">
        <v>0.125</v>
      </c>
      <c r="E68" s="91">
        <f t="shared" si="9"/>
        <v>0.125</v>
      </c>
      <c r="F68" s="89"/>
      <c r="L68" s="48">
        <v>430</v>
      </c>
      <c r="M68" s="48" t="s">
        <v>144</v>
      </c>
      <c r="N68" s="48">
        <v>130</v>
      </c>
      <c r="O68" s="82">
        <f>N68/5</f>
        <v>26</v>
      </c>
      <c r="R68" s="48">
        <v>32</v>
      </c>
    </row>
    <row r="69" spans="1:18" ht="12.75">
      <c r="A69" s="90" t="s">
        <v>145</v>
      </c>
      <c r="B69" s="88">
        <v>1</v>
      </c>
      <c r="C69" s="88" t="s">
        <v>109</v>
      </c>
      <c r="D69" s="91">
        <v>0.175</v>
      </c>
      <c r="E69" s="91">
        <f t="shared" si="9"/>
        <v>0.175</v>
      </c>
      <c r="F69" s="89"/>
      <c r="L69" s="48">
        <v>440</v>
      </c>
      <c r="M69" s="48" t="s">
        <v>146</v>
      </c>
      <c r="N69" s="48">
        <v>130</v>
      </c>
      <c r="O69" s="82">
        <f>N69/5</f>
        <v>26</v>
      </c>
      <c r="R69" s="48">
        <v>32</v>
      </c>
    </row>
    <row r="70" spans="1:18" ht="12.75">
      <c r="A70" s="87"/>
      <c r="B70" s="88"/>
      <c r="C70" s="88"/>
      <c r="D70" s="88"/>
      <c r="E70" s="88"/>
      <c r="F70" s="89"/>
      <c r="L70" s="48">
        <v>450</v>
      </c>
      <c r="M70" s="48" t="s">
        <v>147</v>
      </c>
      <c r="N70" s="48">
        <v>85</v>
      </c>
      <c r="O70" s="82">
        <f>N70/5</f>
        <v>17</v>
      </c>
      <c r="R70" s="48">
        <v>32</v>
      </c>
    </row>
    <row r="71" spans="1:9" ht="12.75">
      <c r="A71" s="150" t="s">
        <v>148</v>
      </c>
      <c r="B71" s="151"/>
      <c r="C71" s="151"/>
      <c r="D71" s="151"/>
      <c r="E71" s="152" t="s">
        <v>34</v>
      </c>
      <c r="F71" s="153"/>
      <c r="G71" s="106" t="s">
        <v>136</v>
      </c>
      <c r="H71" s="106"/>
      <c r="I71" s="106"/>
    </row>
    <row r="72" spans="1:19" ht="12.75">
      <c r="A72" s="150" t="s">
        <v>149</v>
      </c>
      <c r="B72" s="151"/>
      <c r="C72" s="151"/>
      <c r="D72" s="151"/>
      <c r="E72" s="152" t="s">
        <v>34</v>
      </c>
      <c r="F72" s="153"/>
      <c r="G72" s="106" t="s">
        <v>136</v>
      </c>
      <c r="H72" s="106"/>
      <c r="I72" s="106"/>
      <c r="M72" s="48" t="s">
        <v>68</v>
      </c>
      <c r="N72" s="82">
        <f aca="true" t="shared" si="10" ref="N72:S72">SUM(N45:N70)</f>
        <v>1175</v>
      </c>
      <c r="O72" s="82">
        <f t="shared" si="10"/>
        <v>235</v>
      </c>
      <c r="P72" s="82">
        <f t="shared" si="10"/>
        <v>1883</v>
      </c>
      <c r="Q72" s="82">
        <f t="shared" si="10"/>
        <v>176</v>
      </c>
      <c r="R72" s="82">
        <f t="shared" si="10"/>
        <v>176</v>
      </c>
      <c r="S72" s="82">
        <f t="shared" si="10"/>
        <v>156</v>
      </c>
    </row>
    <row r="73" spans="1:6" ht="13.5" thickBot="1">
      <c r="A73" s="92" t="s">
        <v>150</v>
      </c>
      <c r="B73" s="93"/>
      <c r="C73" s="93"/>
      <c r="D73" s="93"/>
      <c r="E73" s="94">
        <f>SUM(E62:E72)</f>
        <v>4.015000000000001</v>
      </c>
      <c r="F73" s="95"/>
    </row>
  </sheetData>
  <mergeCells count="1">
    <mergeCell ref="A59:F59"/>
  </mergeCells>
  <printOptions gridLines="1"/>
  <pageMargins left="0.75" right="0.75" top="1" bottom="1" header="0.511811023" footer="0.511811023"/>
  <pageSetup horizontalDpi="600" verticalDpi="600" orientation="landscape" r:id="rId1"/>
  <headerFooter alignWithMargins="0">
    <oddHeader>&amp;C&amp;A</oddHeader>
    <oddFooter>&amp;CSeite &amp;P</oddFooter>
  </headerFooter>
  <ignoredErrors>
    <ignoredError sqref="J12 J21:J28 J8:J11 B7:G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M27" sqref="M27"/>
    </sheetView>
  </sheetViews>
  <sheetFormatPr defaultColWidth="9.140625" defaultRowHeight="12.75"/>
  <cols>
    <col min="1" max="1" width="28.8515625" style="48" customWidth="1"/>
    <col min="2" max="2" width="9.140625" style="48" customWidth="1"/>
    <col min="3" max="3" width="8.57421875" style="48" customWidth="1"/>
    <col min="4" max="4" width="9.57421875" style="48" customWidth="1"/>
    <col min="5" max="5" width="9.140625" style="48" customWidth="1"/>
    <col min="6" max="6" width="9.00390625" style="48" customWidth="1"/>
    <col min="7" max="7" width="9.140625" style="48" customWidth="1"/>
    <col min="8" max="8" width="8.28125" style="48" customWidth="1"/>
    <col min="9" max="9" width="7.8515625" style="48" customWidth="1"/>
    <col min="10" max="10" width="11.421875" style="48" customWidth="1"/>
    <col min="11" max="11" width="8.421875" style="48" customWidth="1"/>
    <col min="12" max="12" width="11.421875" style="48" customWidth="1"/>
    <col min="13" max="13" width="34.28125" style="48" customWidth="1"/>
    <col min="14" max="16384" width="11.421875" style="48" customWidth="1"/>
  </cols>
  <sheetData>
    <row r="1" spans="1:12" ht="12.75">
      <c r="A1" t="s">
        <v>236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</row>
    <row r="2" spans="1:13" ht="12.75">
      <c r="A2" s="1" t="s">
        <v>7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0" ht="12.75">
      <c r="A3" s="2" t="s">
        <v>245</v>
      </c>
      <c r="B3" s="46"/>
      <c r="C3" s="47"/>
      <c r="D3" s="47"/>
      <c r="E3" s="47"/>
      <c r="F3" s="47"/>
      <c r="G3" s="47"/>
      <c r="H3" s="47"/>
      <c r="I3" s="47"/>
      <c r="J3" s="49" t="s">
        <v>67</v>
      </c>
    </row>
    <row r="4" spans="1:10" ht="12.75">
      <c r="A4" s="50"/>
      <c r="B4" s="51">
        <v>-1</v>
      </c>
      <c r="C4" s="51">
        <v>0</v>
      </c>
      <c r="D4" s="51">
        <v>1</v>
      </c>
      <c r="E4" s="51">
        <v>2</v>
      </c>
      <c r="F4" s="51">
        <v>3</v>
      </c>
      <c r="G4" s="51">
        <v>4</v>
      </c>
      <c r="H4" s="51">
        <v>5</v>
      </c>
      <c r="I4" s="52" t="s">
        <v>68</v>
      </c>
      <c r="J4" s="53" t="s">
        <v>68</v>
      </c>
    </row>
    <row r="5" spans="1:10" ht="12.75">
      <c r="A5" s="54"/>
      <c r="B5" s="51"/>
      <c r="C5" s="51"/>
      <c r="D5" s="51"/>
      <c r="E5" s="51"/>
      <c r="F5" s="51"/>
      <c r="G5" s="51"/>
      <c r="H5" s="51"/>
      <c r="I5" s="52"/>
      <c r="J5" s="53"/>
    </row>
    <row r="6" spans="1:10" ht="12.75">
      <c r="A6" s="47" t="s">
        <v>151</v>
      </c>
      <c r="B6" s="47"/>
      <c r="C6" s="47"/>
      <c r="D6" s="47"/>
      <c r="E6" s="47">
        <f>E7-50</f>
        <v>41</v>
      </c>
      <c r="F6" s="47">
        <f>F7-50</f>
        <v>53</v>
      </c>
      <c r="G6" s="47">
        <f>G7-50</f>
        <v>53</v>
      </c>
      <c r="H6" s="47"/>
      <c r="I6" s="47"/>
      <c r="J6" s="47"/>
    </row>
    <row r="7" spans="1:10" ht="12.75">
      <c r="A7" s="46" t="s">
        <v>152</v>
      </c>
      <c r="B7" s="46">
        <f aca="true" t="shared" si="0" ref="B7:J7">SUM(B8:B9)</f>
        <v>0</v>
      </c>
      <c r="C7" s="46">
        <f t="shared" si="0"/>
        <v>0</v>
      </c>
      <c r="D7" s="46">
        <f t="shared" si="0"/>
        <v>0</v>
      </c>
      <c r="E7" s="46">
        <f t="shared" si="0"/>
        <v>91</v>
      </c>
      <c r="F7" s="46">
        <f t="shared" si="0"/>
        <v>103</v>
      </c>
      <c r="G7" s="46">
        <f t="shared" si="0"/>
        <v>103</v>
      </c>
      <c r="H7" s="46"/>
      <c r="I7" s="46">
        <f t="shared" si="0"/>
        <v>297</v>
      </c>
      <c r="J7" s="46">
        <f t="shared" si="0"/>
        <v>297</v>
      </c>
    </row>
    <row r="8" spans="1:10" ht="12.75">
      <c r="A8" s="51" t="s">
        <v>153</v>
      </c>
      <c r="B8" s="51">
        <v>0</v>
      </c>
      <c r="C8" s="47">
        <v>0</v>
      </c>
      <c r="D8" s="48">
        <v>0</v>
      </c>
      <c r="E8" s="48">
        <v>40</v>
      </c>
      <c r="F8" s="48">
        <v>53</v>
      </c>
      <c r="G8" s="48">
        <v>53</v>
      </c>
      <c r="I8" s="47">
        <f>SUM(B8:G8)</f>
        <v>146</v>
      </c>
      <c r="J8" s="56">
        <f>SUM(D8:G8)</f>
        <v>146</v>
      </c>
    </row>
    <row r="9" spans="1:10" ht="12.75">
      <c r="A9" s="51" t="s">
        <v>154</v>
      </c>
      <c r="B9" s="51">
        <v>0</v>
      </c>
      <c r="C9" s="47">
        <v>0</v>
      </c>
      <c r="D9" s="48">
        <v>0</v>
      </c>
      <c r="E9" s="48">
        <v>51</v>
      </c>
      <c r="F9" s="48">
        <v>50</v>
      </c>
      <c r="G9" s="48">
        <v>50</v>
      </c>
      <c r="I9" s="47">
        <f>SUM(B9:G9)</f>
        <v>151</v>
      </c>
      <c r="J9" s="56">
        <f>SUM(D9:G9)</f>
        <v>151</v>
      </c>
    </row>
    <row r="10" spans="1:10" ht="12.75">
      <c r="A10" s="51" t="s">
        <v>75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/>
      <c r="I10" s="47">
        <f>SUM(B10:G10)</f>
        <v>0</v>
      </c>
      <c r="J10" s="56">
        <f>SUM(D10:G10)</f>
        <v>0</v>
      </c>
    </row>
    <row r="11" spans="1:10" ht="12.75">
      <c r="A11" s="47"/>
      <c r="B11" s="47"/>
      <c r="C11" s="47"/>
      <c r="I11" s="47"/>
      <c r="J11" s="57"/>
    </row>
    <row r="12" spans="1:10" ht="12.75">
      <c r="A12" s="46" t="s">
        <v>68</v>
      </c>
      <c r="B12" s="47">
        <f aca="true" t="shared" si="1" ref="B12:G12">SUM(B8:B11)</f>
        <v>0</v>
      </c>
      <c r="C12" s="47">
        <f t="shared" si="1"/>
        <v>0</v>
      </c>
      <c r="D12" s="47">
        <f t="shared" si="1"/>
        <v>0</v>
      </c>
      <c r="E12" s="47">
        <f t="shared" si="1"/>
        <v>91</v>
      </c>
      <c r="F12" s="47">
        <f t="shared" si="1"/>
        <v>103</v>
      </c>
      <c r="G12" s="47">
        <f t="shared" si="1"/>
        <v>103</v>
      </c>
      <c r="H12" s="47"/>
      <c r="I12" s="47">
        <f>SUM(B12:G12)</f>
        <v>297</v>
      </c>
      <c r="J12" s="56">
        <f>SUM(D12:G12)</f>
        <v>297</v>
      </c>
    </row>
    <row r="13" spans="1:10" ht="12.75">
      <c r="A13" s="47"/>
      <c r="B13" s="47"/>
      <c r="C13" s="47"/>
      <c r="E13" s="47"/>
      <c r="F13" s="47"/>
      <c r="G13" s="47"/>
      <c r="H13" s="47"/>
      <c r="I13" s="47"/>
      <c r="J13" s="47"/>
    </row>
    <row r="15" spans="1:10" ht="12.75">
      <c r="A15" s="58"/>
      <c r="B15" s="47"/>
      <c r="C15" s="47"/>
      <c r="D15" s="47"/>
      <c r="E15" s="47"/>
      <c r="F15" s="47"/>
      <c r="G15" s="47"/>
      <c r="H15" s="47"/>
      <c r="I15" s="59"/>
      <c r="J15" s="47" t="s">
        <v>67</v>
      </c>
    </row>
    <row r="16" spans="1:10" ht="12.75">
      <c r="A16" s="60"/>
      <c r="B16" s="61">
        <v>2006</v>
      </c>
      <c r="C16" s="61">
        <v>2007</v>
      </c>
      <c r="D16" s="61">
        <v>2008</v>
      </c>
      <c r="E16" s="61">
        <v>2009</v>
      </c>
      <c r="F16" s="61">
        <v>2010</v>
      </c>
      <c r="G16" s="61">
        <v>2011</v>
      </c>
      <c r="H16" s="61">
        <v>2012</v>
      </c>
      <c r="I16" s="62" t="s">
        <v>59</v>
      </c>
      <c r="J16" s="53" t="s">
        <v>68</v>
      </c>
    </row>
    <row r="17" spans="1:9" ht="12.75">
      <c r="A17" s="58" t="s">
        <v>76</v>
      </c>
      <c r="B17" s="47"/>
      <c r="C17" s="47"/>
      <c r="D17" s="47"/>
      <c r="E17" s="47"/>
      <c r="F17" s="47"/>
      <c r="G17" s="47"/>
      <c r="H17" s="47"/>
      <c r="I17" s="57"/>
    </row>
    <row r="18" spans="1:10" ht="12.75">
      <c r="A18" s="63" t="s">
        <v>77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/>
      <c r="I18" s="56">
        <f aca="true" t="shared" si="2" ref="I18:I25">SUM(B18:G18)</f>
        <v>0</v>
      </c>
      <c r="J18" s="48">
        <f aca="true" t="shared" si="3" ref="J18:J25">SUM(D18:G18)</f>
        <v>0</v>
      </c>
    </row>
    <row r="19" spans="1:10" ht="12.75">
      <c r="A19" s="63" t="s">
        <v>78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/>
      <c r="I19" s="56">
        <f t="shared" si="2"/>
        <v>0</v>
      </c>
      <c r="J19" s="48">
        <f t="shared" si="3"/>
        <v>0</v>
      </c>
    </row>
    <row r="20" spans="1:10" ht="12.75">
      <c r="A20" s="48" t="s">
        <v>79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/>
      <c r="I20" s="56">
        <f t="shared" si="2"/>
        <v>0</v>
      </c>
      <c r="J20" s="48">
        <f t="shared" si="3"/>
        <v>0</v>
      </c>
    </row>
    <row r="21" spans="1:10" ht="12.75">
      <c r="A21" s="63" t="s">
        <v>80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/>
      <c r="I21" s="56">
        <f t="shared" si="2"/>
        <v>0</v>
      </c>
      <c r="J21" s="48">
        <f t="shared" si="3"/>
        <v>0</v>
      </c>
    </row>
    <row r="22" spans="1:10" ht="12.75">
      <c r="A22" s="63" t="s">
        <v>81</v>
      </c>
      <c r="B22" s="63">
        <f aca="true" t="shared" si="4" ref="B22:G22">SUM(B18:B21)</f>
        <v>0</v>
      </c>
      <c r="C22" s="63">
        <f t="shared" si="4"/>
        <v>0</v>
      </c>
      <c r="D22" s="63">
        <f t="shared" si="4"/>
        <v>0</v>
      </c>
      <c r="E22" s="63">
        <f t="shared" si="4"/>
        <v>0</v>
      </c>
      <c r="F22" s="63">
        <f t="shared" si="4"/>
        <v>0</v>
      </c>
      <c r="G22" s="63">
        <f t="shared" si="4"/>
        <v>0</v>
      </c>
      <c r="H22" s="63"/>
      <c r="I22" s="56">
        <f t="shared" si="2"/>
        <v>0</v>
      </c>
      <c r="J22" s="48">
        <f t="shared" si="3"/>
        <v>0</v>
      </c>
    </row>
    <row r="23" spans="1:10" ht="12.75">
      <c r="A23" s="63" t="s">
        <v>82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/>
      <c r="I23" s="56">
        <f t="shared" si="2"/>
        <v>0</v>
      </c>
      <c r="J23" s="48">
        <f t="shared" si="3"/>
        <v>0</v>
      </c>
    </row>
    <row r="24" spans="1:10" ht="12.75">
      <c r="A24" s="63" t="s">
        <v>83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/>
      <c r="I24" s="56">
        <f t="shared" si="2"/>
        <v>0</v>
      </c>
      <c r="J24" s="48">
        <f t="shared" si="3"/>
        <v>0</v>
      </c>
    </row>
    <row r="25" spans="1:10" ht="12.75">
      <c r="A25" s="48" t="s">
        <v>84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/>
      <c r="I25" s="56">
        <f t="shared" si="2"/>
        <v>0</v>
      </c>
      <c r="J25" s="48">
        <f t="shared" si="3"/>
        <v>0</v>
      </c>
    </row>
    <row r="26" spans="1:9" ht="12.75">
      <c r="A26" s="63"/>
      <c r="B26" s="47"/>
      <c r="C26" s="47"/>
      <c r="D26" s="47"/>
      <c r="E26" s="47"/>
      <c r="F26" s="47"/>
      <c r="G26" s="47"/>
      <c r="H26" s="47"/>
      <c r="I26" s="56"/>
    </row>
    <row r="27" spans="1:13" ht="12.75">
      <c r="A27" s="78" t="s">
        <v>88</v>
      </c>
      <c r="B27" s="60">
        <f aca="true" t="shared" si="5" ref="B27:G27">SUM(B28:B28)</f>
        <v>0</v>
      </c>
      <c r="C27" s="60">
        <f t="shared" si="5"/>
        <v>0</v>
      </c>
      <c r="D27" s="60">
        <f t="shared" si="5"/>
        <v>11</v>
      </c>
      <c r="E27" s="60">
        <f t="shared" si="5"/>
        <v>55</v>
      </c>
      <c r="F27" s="60">
        <f t="shared" si="5"/>
        <v>55</v>
      </c>
      <c r="G27" s="60">
        <f t="shared" si="5"/>
        <v>55</v>
      </c>
      <c r="H27" s="60"/>
      <c r="I27" s="96" t="s">
        <v>59</v>
      </c>
      <c r="J27" s="61">
        <f>SUM(B27:G27)</f>
        <v>176</v>
      </c>
      <c r="M27" s="102"/>
    </row>
    <row r="28" spans="1:10" ht="12.75">
      <c r="A28" s="60" t="s">
        <v>155</v>
      </c>
      <c r="B28" s="60">
        <v>0</v>
      </c>
      <c r="C28" s="60">
        <v>0</v>
      </c>
      <c r="D28" s="60">
        <v>11</v>
      </c>
      <c r="E28" s="60">
        <v>55</v>
      </c>
      <c r="F28" s="60">
        <v>55</v>
      </c>
      <c r="G28" s="60">
        <v>55</v>
      </c>
      <c r="H28" s="60"/>
      <c r="I28" s="96" t="s">
        <v>152</v>
      </c>
      <c r="J28" s="61">
        <f>SUM(B28:G28)</f>
        <v>176</v>
      </c>
    </row>
    <row r="29" spans="1:10" ht="12.75">
      <c r="A29" s="61"/>
      <c r="B29" s="60"/>
      <c r="C29" s="61"/>
      <c r="D29" s="61"/>
      <c r="E29" s="61"/>
      <c r="F29" s="61"/>
      <c r="G29" s="61"/>
      <c r="H29" s="61"/>
      <c r="I29" s="96"/>
      <c r="J29" s="61"/>
    </row>
    <row r="30" spans="1:10" ht="12.75">
      <c r="A30" s="78" t="s">
        <v>91</v>
      </c>
      <c r="B30" s="61">
        <f aca="true" t="shared" si="6" ref="B30:G30">SUM(B31:B31)</f>
        <v>0</v>
      </c>
      <c r="C30" s="61">
        <f t="shared" si="6"/>
        <v>0</v>
      </c>
      <c r="D30" s="61">
        <f t="shared" si="6"/>
        <v>11</v>
      </c>
      <c r="E30" s="61">
        <f t="shared" si="6"/>
        <v>55</v>
      </c>
      <c r="F30" s="61">
        <f t="shared" si="6"/>
        <v>55</v>
      </c>
      <c r="G30" s="61">
        <f t="shared" si="6"/>
        <v>55</v>
      </c>
      <c r="H30" s="61"/>
      <c r="I30" s="97" t="s">
        <v>59</v>
      </c>
      <c r="J30" s="61"/>
    </row>
    <row r="31" spans="1:10" ht="12.75">
      <c r="A31" s="61" t="s">
        <v>156</v>
      </c>
      <c r="B31" s="60">
        <v>0</v>
      </c>
      <c r="C31" s="61">
        <v>0</v>
      </c>
      <c r="D31" s="61">
        <v>11</v>
      </c>
      <c r="E31" s="61">
        <v>55</v>
      </c>
      <c r="F31" s="61">
        <v>55</v>
      </c>
      <c r="G31" s="61">
        <v>55</v>
      </c>
      <c r="H31" s="61"/>
      <c r="I31" s="96" t="s">
        <v>152</v>
      </c>
      <c r="J31" s="61">
        <f>SUM(B31:G31)</f>
        <v>176</v>
      </c>
    </row>
    <row r="32" spans="1:10" ht="12.75">
      <c r="A32" s="61"/>
      <c r="B32" s="60"/>
      <c r="C32" s="61"/>
      <c r="D32" s="61"/>
      <c r="E32" s="61"/>
      <c r="F32" s="61"/>
      <c r="G32" s="61"/>
      <c r="H32" s="61"/>
      <c r="I32" s="96"/>
      <c r="J32" s="61"/>
    </row>
    <row r="33" spans="1:10" ht="12.75">
      <c r="A33" s="78" t="s">
        <v>157</v>
      </c>
      <c r="B33" s="60">
        <f aca="true" t="shared" si="7" ref="B33:G33">SUM(B34:B34)*0.75</f>
        <v>0</v>
      </c>
      <c r="C33" s="60">
        <f t="shared" si="7"/>
        <v>0</v>
      </c>
      <c r="D33" s="60">
        <f t="shared" si="7"/>
        <v>8.25</v>
      </c>
      <c r="E33" s="60">
        <f t="shared" si="7"/>
        <v>41.25</v>
      </c>
      <c r="F33" s="60">
        <f t="shared" si="7"/>
        <v>41.25</v>
      </c>
      <c r="G33" s="60">
        <f t="shared" si="7"/>
        <v>41.25</v>
      </c>
      <c r="H33" s="60"/>
      <c r="I33" s="62" t="s">
        <v>59</v>
      </c>
      <c r="J33" s="60">
        <f>SUM(J34:J34)</f>
        <v>176</v>
      </c>
    </row>
    <row r="34" spans="1:10" ht="12.75">
      <c r="A34" s="98" t="s">
        <v>158</v>
      </c>
      <c r="B34" s="60">
        <v>0</v>
      </c>
      <c r="C34" s="60">
        <v>0</v>
      </c>
      <c r="D34" s="60">
        <v>11</v>
      </c>
      <c r="E34" s="60">
        <v>55</v>
      </c>
      <c r="F34" s="60">
        <v>55</v>
      </c>
      <c r="G34" s="60">
        <v>55</v>
      </c>
      <c r="H34" s="60"/>
      <c r="I34" s="96" t="s">
        <v>159</v>
      </c>
      <c r="J34" s="61">
        <f>SUM(B34:G34)</f>
        <v>176</v>
      </c>
    </row>
    <row r="35" spans="1:10" ht="12.75">
      <c r="A35" s="98"/>
      <c r="B35" s="60"/>
      <c r="C35" s="60"/>
      <c r="D35" s="60"/>
      <c r="E35" s="60"/>
      <c r="F35" s="60"/>
      <c r="G35" s="60"/>
      <c r="H35" s="60"/>
      <c r="I35" s="96"/>
      <c r="J35" s="61"/>
    </row>
    <row r="37" ht="12.75">
      <c r="O37" s="48" t="s">
        <v>160</v>
      </c>
    </row>
    <row r="38" spans="1:18" ht="12.75">
      <c r="A38" s="48" t="s">
        <v>161</v>
      </c>
      <c r="F38" s="48" t="s">
        <v>115</v>
      </c>
      <c r="L38" s="48" t="s">
        <v>94</v>
      </c>
      <c r="M38" s="48" t="s">
        <v>95</v>
      </c>
      <c r="N38" s="48" t="s">
        <v>96</v>
      </c>
      <c r="O38" s="48" t="s">
        <v>96</v>
      </c>
      <c r="P38" s="48" t="s">
        <v>97</v>
      </c>
      <c r="Q38" s="48" t="s">
        <v>98</v>
      </c>
      <c r="R38" s="48" t="s">
        <v>162</v>
      </c>
    </row>
    <row r="39" spans="1:17" ht="12.75">
      <c r="A39" s="48" t="s">
        <v>163</v>
      </c>
      <c r="F39" s="48" t="s">
        <v>116</v>
      </c>
      <c r="G39" s="48" t="s">
        <v>117</v>
      </c>
      <c r="H39" s="48" t="s">
        <v>118</v>
      </c>
      <c r="I39" s="48" t="s">
        <v>117</v>
      </c>
      <c r="J39" s="48" t="s">
        <v>119</v>
      </c>
      <c r="K39" s="48" t="s">
        <v>117</v>
      </c>
      <c r="M39" s="80">
        <v>38974</v>
      </c>
      <c r="N39" s="48" t="s">
        <v>104</v>
      </c>
      <c r="O39" s="48" t="s">
        <v>105</v>
      </c>
      <c r="Q39" s="48" t="s">
        <v>106</v>
      </c>
    </row>
    <row r="40" spans="1:11" ht="12.75">
      <c r="A40" s="48" t="s">
        <v>100</v>
      </c>
      <c r="B40" s="48" t="s">
        <v>29</v>
      </c>
      <c r="C40" s="48" t="s">
        <v>101</v>
      </c>
      <c r="D40" s="48" t="s">
        <v>102</v>
      </c>
      <c r="E40" s="48" t="s">
        <v>103</v>
      </c>
      <c r="F40" s="48" t="s">
        <v>121</v>
      </c>
      <c r="G40" s="48" t="s">
        <v>122</v>
      </c>
      <c r="H40" s="48" t="s">
        <v>121</v>
      </c>
      <c r="I40" s="48" t="s">
        <v>122</v>
      </c>
      <c r="J40" s="48" t="s">
        <v>121</v>
      </c>
      <c r="K40" s="48" t="s">
        <v>122</v>
      </c>
    </row>
    <row r="41" spans="1:17" ht="12.75">
      <c r="A41" s="51" t="s">
        <v>153</v>
      </c>
      <c r="B41" s="48">
        <f>ntdc1</f>
        <v>166</v>
      </c>
      <c r="C41" s="48" t="s">
        <v>109</v>
      </c>
      <c r="D41" s="83">
        <f>C58/1000</f>
        <v>0.103125</v>
      </c>
      <c r="E41" s="48">
        <f>B41*D41</f>
        <v>17.11875</v>
      </c>
      <c r="F41" s="48">
        <v>40</v>
      </c>
      <c r="G41" s="82">
        <f>B41/32/F41</f>
        <v>0.1296875</v>
      </c>
      <c r="H41" s="48">
        <v>40</v>
      </c>
      <c r="I41" s="82">
        <f>B41/32/H41</f>
        <v>0.1296875</v>
      </c>
      <c r="J41" s="48">
        <v>2</v>
      </c>
      <c r="K41" s="82">
        <f>B41/(32*20)/J41</f>
        <v>0.1296875</v>
      </c>
      <c r="L41" s="48">
        <v>110</v>
      </c>
      <c r="M41" s="48" t="s">
        <v>164</v>
      </c>
      <c r="N41" s="48">
        <v>21.75</v>
      </c>
      <c r="O41" s="82">
        <f>N41/2.5</f>
        <v>8.7</v>
      </c>
      <c r="Q41" s="48">
        <v>64</v>
      </c>
    </row>
    <row r="42" spans="1:17" ht="12.75">
      <c r="A42" s="48" t="s">
        <v>154</v>
      </c>
      <c r="B42" s="48">
        <f>ntdc2</f>
        <v>46</v>
      </c>
      <c r="C42" s="48" t="s">
        <v>109</v>
      </c>
      <c r="D42" s="83">
        <f>C59/1000</f>
        <v>0.0515625</v>
      </c>
      <c r="E42" s="48">
        <f>B42*D42</f>
        <v>2.3718749999999997</v>
      </c>
      <c r="F42" s="48">
        <v>40</v>
      </c>
      <c r="G42" s="82">
        <f>B42/16/F42</f>
        <v>0.071875</v>
      </c>
      <c r="H42" s="48">
        <v>40</v>
      </c>
      <c r="I42" s="82">
        <f>B42/16/H42</f>
        <v>0.071875</v>
      </c>
      <c r="J42" s="48">
        <v>2</v>
      </c>
      <c r="K42" s="82">
        <f>B42/(16*20)/J42</f>
        <v>0.071875</v>
      </c>
      <c r="L42" s="48">
        <v>120</v>
      </c>
      <c r="M42" s="48" t="s">
        <v>165</v>
      </c>
      <c r="N42" s="48">
        <v>21.75</v>
      </c>
      <c r="O42" s="82">
        <f>N42/2.5</f>
        <v>8.7</v>
      </c>
      <c r="Q42" s="48">
        <v>64</v>
      </c>
    </row>
    <row r="43" spans="12:18" ht="12.75">
      <c r="L43" s="48">
        <v>130</v>
      </c>
      <c r="M43" s="48" t="s">
        <v>166</v>
      </c>
      <c r="N43" s="48">
        <v>21.75</v>
      </c>
      <c r="O43" s="82">
        <f aca="true" t="shared" si="8" ref="O43:O50">N43/2.5</f>
        <v>8.7</v>
      </c>
      <c r="R43" s="48">
        <v>66</v>
      </c>
    </row>
    <row r="44" spans="1:18" ht="12" customHeight="1">
      <c r="A44" s="48" t="s">
        <v>68</v>
      </c>
      <c r="E44" s="48">
        <f>SUM(E41:E42)</f>
        <v>19.490624999999998</v>
      </c>
      <c r="G44" s="82">
        <f>SUM(G41:G42)</f>
        <v>0.2015625</v>
      </c>
      <c r="H44" s="82"/>
      <c r="I44" s="82">
        <f>SUM(I41:I42)</f>
        <v>0.2015625</v>
      </c>
      <c r="J44" s="82"/>
      <c r="K44" s="82">
        <f>SUM(K41:K42)</f>
        <v>0.2015625</v>
      </c>
      <c r="L44" s="48">
        <v>140</v>
      </c>
      <c r="M44" s="48" t="s">
        <v>167</v>
      </c>
      <c r="N44" s="48">
        <v>21.75</v>
      </c>
      <c r="O44" s="82">
        <f t="shared" si="8"/>
        <v>8.7</v>
      </c>
      <c r="R44" s="48">
        <v>66</v>
      </c>
    </row>
    <row r="45" spans="12:16" ht="12.75">
      <c r="L45" s="48">
        <v>210</v>
      </c>
      <c r="M45" s="48" t="s">
        <v>168</v>
      </c>
      <c r="N45" s="48">
        <v>130.5</v>
      </c>
      <c r="O45" s="82">
        <f t="shared" si="8"/>
        <v>52.2</v>
      </c>
      <c r="P45" s="48">
        <v>141</v>
      </c>
    </row>
    <row r="46" spans="1:16" ht="12" customHeight="1">
      <c r="A46" s="99" t="s">
        <v>169</v>
      </c>
      <c r="D46" s="100" t="s">
        <v>170</v>
      </c>
      <c r="L46" s="48">
        <v>210</v>
      </c>
      <c r="O46" s="82"/>
      <c r="P46" s="48">
        <f>297-P45</f>
        <v>156</v>
      </c>
    </row>
    <row r="47" spans="2:17" ht="12.75" customHeight="1">
      <c r="B47" s="101" t="s">
        <v>171</v>
      </c>
      <c r="C47" s="102" t="s">
        <v>172</v>
      </c>
      <c r="D47" s="102" t="s">
        <v>173</v>
      </c>
      <c r="E47" s="101" t="s">
        <v>174</v>
      </c>
      <c r="L47" s="48">
        <v>220</v>
      </c>
      <c r="M47" s="48" t="s">
        <v>175</v>
      </c>
      <c r="N47" s="48">
        <v>32.63</v>
      </c>
      <c r="O47" s="82">
        <f t="shared" si="8"/>
        <v>13.052000000000001</v>
      </c>
      <c r="Q47" s="48">
        <v>32</v>
      </c>
    </row>
    <row r="48" spans="2:17" ht="12.75" customHeight="1">
      <c r="B48" s="103">
        <v>1</v>
      </c>
      <c r="C48" s="104">
        <v>7500</v>
      </c>
      <c r="D48" s="104">
        <f aca="true" t="shared" si="9" ref="D48:D53">B48*C48</f>
        <v>7500</v>
      </c>
      <c r="E48" s="100" t="s">
        <v>176</v>
      </c>
      <c r="L48" s="48">
        <v>230</v>
      </c>
      <c r="M48" s="48" t="s">
        <v>177</v>
      </c>
      <c r="N48" s="48">
        <v>32.63</v>
      </c>
      <c r="O48" s="82">
        <f t="shared" si="8"/>
        <v>13.052000000000001</v>
      </c>
      <c r="Q48" s="48">
        <v>64</v>
      </c>
    </row>
    <row r="49" spans="2:17" ht="12.75" customHeight="1">
      <c r="B49" s="103">
        <v>18</v>
      </c>
      <c r="C49" s="104">
        <v>3300</v>
      </c>
      <c r="D49" s="104">
        <f t="shared" si="9"/>
        <v>59400</v>
      </c>
      <c r="E49" s="48" t="s">
        <v>178</v>
      </c>
      <c r="F49" s="105"/>
      <c r="G49" s="105"/>
      <c r="H49" s="105"/>
      <c r="I49" s="105"/>
      <c r="J49" s="105"/>
      <c r="K49" s="105"/>
      <c r="L49" s="105">
        <v>240</v>
      </c>
      <c r="M49" s="105" t="s">
        <v>179</v>
      </c>
      <c r="N49" s="48">
        <v>43.5</v>
      </c>
      <c r="O49" s="82">
        <f t="shared" si="8"/>
        <v>17.4</v>
      </c>
      <c r="Q49" s="48">
        <v>64</v>
      </c>
    </row>
    <row r="50" spans="2:17" ht="12.75" customHeight="1">
      <c r="B50" s="103">
        <v>18</v>
      </c>
      <c r="C50" s="104">
        <v>35</v>
      </c>
      <c r="D50" s="104">
        <f t="shared" si="9"/>
        <v>630</v>
      </c>
      <c r="E50" s="48" t="s">
        <v>180</v>
      </c>
      <c r="F50" s="105"/>
      <c r="G50" s="105"/>
      <c r="H50" s="105"/>
      <c r="I50" s="105"/>
      <c r="J50" s="105"/>
      <c r="K50" s="105"/>
      <c r="L50" s="105">
        <v>250</v>
      </c>
      <c r="M50" s="105" t="s">
        <v>181</v>
      </c>
      <c r="N50" s="48">
        <v>43.5</v>
      </c>
      <c r="O50" s="82">
        <f t="shared" si="8"/>
        <v>17.4</v>
      </c>
      <c r="Q50" s="48">
        <v>64</v>
      </c>
    </row>
    <row r="51" spans="2:13" ht="12.75" customHeight="1">
      <c r="B51" s="103">
        <v>18</v>
      </c>
      <c r="C51" s="104">
        <v>5</v>
      </c>
      <c r="D51" s="104">
        <f t="shared" si="9"/>
        <v>90</v>
      </c>
      <c r="E51" s="48" t="s">
        <v>182</v>
      </c>
      <c r="F51" s="105"/>
      <c r="G51" s="105"/>
      <c r="H51" s="105"/>
      <c r="I51" s="105"/>
      <c r="J51" s="105"/>
      <c r="K51" s="105"/>
      <c r="L51" s="105"/>
      <c r="M51" s="105"/>
    </row>
    <row r="52" spans="2:18" ht="12.75" customHeight="1">
      <c r="B52" s="103">
        <v>1</v>
      </c>
      <c r="C52" s="104">
        <v>1000</v>
      </c>
      <c r="D52" s="104">
        <f t="shared" si="9"/>
        <v>1000</v>
      </c>
      <c r="E52" s="48" t="s">
        <v>183</v>
      </c>
      <c r="F52" s="105"/>
      <c r="G52" s="105"/>
      <c r="H52" s="105"/>
      <c r="I52" s="105"/>
      <c r="J52" s="105"/>
      <c r="K52" s="105"/>
      <c r="L52" s="105"/>
      <c r="M52" s="105" t="s">
        <v>68</v>
      </c>
      <c r="O52" s="82">
        <f>SUM(O41:O50)</f>
        <v>147.90400000000002</v>
      </c>
      <c r="P52" s="82">
        <f>SUM(P41:P50)</f>
        <v>297</v>
      </c>
      <c r="Q52" s="82">
        <f>SUM(Q41:Q50)</f>
        <v>352</v>
      </c>
      <c r="R52" s="82">
        <f>SUM(R41:R50)</f>
        <v>132</v>
      </c>
    </row>
    <row r="53" spans="2:12" ht="12.75" customHeight="1">
      <c r="B53" s="103">
        <v>1</v>
      </c>
      <c r="C53" s="104">
        <v>3000</v>
      </c>
      <c r="D53" s="104">
        <f t="shared" si="9"/>
        <v>3000</v>
      </c>
      <c r="E53" s="48" t="s">
        <v>184</v>
      </c>
      <c r="F53" s="105"/>
      <c r="G53" s="105"/>
      <c r="H53" s="105"/>
      <c r="I53" s="105"/>
      <c r="J53" s="105"/>
      <c r="K53" s="105"/>
      <c r="L53" s="105"/>
    </row>
    <row r="54" spans="3:5" ht="12.75">
      <c r="C54" s="104"/>
      <c r="D54" s="104"/>
      <c r="E54" s="100"/>
    </row>
    <row r="55" spans="2:5" ht="12.75">
      <c r="B55" s="48" t="s">
        <v>185</v>
      </c>
      <c r="C55" s="104"/>
      <c r="D55" s="104">
        <f>SUM(D48:D54)</f>
        <v>71620</v>
      </c>
      <c r="E55" s="100"/>
    </row>
    <row r="56" ht="12.75" customHeight="1"/>
    <row r="57" spans="1:3" ht="12.75">
      <c r="A57" s="48" t="s">
        <v>186</v>
      </c>
      <c r="C57" s="81">
        <f>(D48+D50+D51+D52)/1000</f>
        <v>9.22</v>
      </c>
    </row>
    <row r="58" spans="1:3" ht="12.75">
      <c r="A58" s="48" t="s">
        <v>187</v>
      </c>
      <c r="C58" s="48">
        <f>C49/32</f>
        <v>103.125</v>
      </c>
    </row>
    <row r="59" spans="1:3" ht="12.75">
      <c r="A59" s="48" t="s">
        <v>187</v>
      </c>
      <c r="C59" s="48">
        <f>C49/64</f>
        <v>51.5625</v>
      </c>
    </row>
    <row r="60" spans="1:3" ht="12.75">
      <c r="A60" s="48" t="s">
        <v>188</v>
      </c>
      <c r="C60" s="82">
        <f>C57-D48/1000</f>
        <v>1.7200000000000006</v>
      </c>
    </row>
  </sheetData>
  <printOptions gridLines="1"/>
  <pageMargins left="0.75" right="0.75" top="1" bottom="1" header="0.511811023" footer="0.511811023"/>
  <pageSetup horizontalDpi="600" verticalDpi="600" orientation="landscape" r:id="rId1"/>
  <headerFooter alignWithMargins="0">
    <oddHeader>&amp;C&amp;A</oddHeader>
    <oddFooter>&amp;CSeite &amp;P</oddFooter>
  </headerFooter>
  <ignoredErrors>
    <ignoredError sqref="J10 J8:J9 J18:J25 B7:G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B42" sqref="B42"/>
    </sheetView>
  </sheetViews>
  <sheetFormatPr defaultColWidth="9.140625" defaultRowHeight="12.75"/>
  <cols>
    <col min="1" max="1" width="28.8515625" style="48" customWidth="1"/>
    <col min="2" max="2" width="9.140625" style="48" customWidth="1"/>
    <col min="3" max="3" width="8.57421875" style="48" customWidth="1"/>
    <col min="4" max="4" width="9.57421875" style="48" customWidth="1"/>
    <col min="5" max="5" width="9.140625" style="48" customWidth="1"/>
    <col min="6" max="6" width="9.00390625" style="48" customWidth="1"/>
    <col min="7" max="7" width="9.140625" style="48" customWidth="1"/>
    <col min="8" max="8" width="8.28125" style="48" customWidth="1"/>
    <col min="9" max="9" width="7.8515625" style="48" customWidth="1"/>
    <col min="10" max="10" width="11.421875" style="48" customWidth="1"/>
    <col min="11" max="11" width="8.421875" style="48" customWidth="1"/>
    <col min="12" max="12" width="11.421875" style="48" customWidth="1"/>
    <col min="13" max="13" width="34.421875" style="48" customWidth="1"/>
    <col min="14" max="16384" width="11.421875" style="48" customWidth="1"/>
  </cols>
  <sheetData>
    <row r="1" spans="1:12" ht="12.75">
      <c r="A1" t="s">
        <v>236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</row>
    <row r="2" spans="1:13" ht="12.75">
      <c r="A2" s="1" t="s">
        <v>7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0" ht="12.75">
      <c r="A3" s="2" t="s">
        <v>245</v>
      </c>
      <c r="B3" s="46"/>
      <c r="C3" s="47"/>
      <c r="D3" s="47"/>
      <c r="E3" s="47"/>
      <c r="F3" s="47"/>
      <c r="G3" s="47"/>
      <c r="H3" s="47"/>
      <c r="I3" s="47"/>
      <c r="J3" s="49" t="s">
        <v>67</v>
      </c>
    </row>
    <row r="4" spans="1:10" ht="12.75">
      <c r="A4" s="50"/>
      <c r="B4" s="51">
        <v>-1</v>
      </c>
      <c r="C4" s="51">
        <v>0</v>
      </c>
      <c r="D4" s="51">
        <v>1</v>
      </c>
      <c r="E4" s="51">
        <v>2</v>
      </c>
      <c r="F4" s="51">
        <v>3</v>
      </c>
      <c r="G4" s="51">
        <v>4</v>
      </c>
      <c r="H4" s="51">
        <v>5</v>
      </c>
      <c r="I4" s="52" t="s">
        <v>68</v>
      </c>
      <c r="J4" s="53" t="s">
        <v>68</v>
      </c>
    </row>
    <row r="5" spans="1:13" ht="12.75">
      <c r="A5" s="54"/>
      <c r="B5" s="51"/>
      <c r="C5" s="51"/>
      <c r="D5" s="51"/>
      <c r="E5" s="51"/>
      <c r="F5" s="51"/>
      <c r="G5" s="51"/>
      <c r="H5" s="51"/>
      <c r="I5" s="52"/>
      <c r="J5" s="53"/>
      <c r="M5" s="106"/>
    </row>
    <row r="6" spans="1:13" ht="25.5">
      <c r="A6" s="47" t="s">
        <v>189</v>
      </c>
      <c r="B6" s="47"/>
      <c r="C6" s="47"/>
      <c r="D6" s="47">
        <f>D7-50</f>
        <v>120</v>
      </c>
      <c r="E6" s="47">
        <f>E7-50</f>
        <v>127</v>
      </c>
      <c r="F6" s="47">
        <f>F7-50</f>
        <v>219</v>
      </c>
      <c r="G6" s="47">
        <f>G7-50</f>
        <v>215</v>
      </c>
      <c r="H6" s="47"/>
      <c r="I6" s="47"/>
      <c r="J6" s="47"/>
      <c r="M6" s="107" t="s">
        <v>190</v>
      </c>
    </row>
    <row r="7" spans="1:13" ht="12.75">
      <c r="A7" s="46" t="s">
        <v>191</v>
      </c>
      <c r="B7" s="46">
        <f aca="true" t="shared" si="0" ref="B7:J7">SUM(B8:B9)</f>
        <v>0</v>
      </c>
      <c r="C7" s="46">
        <f t="shared" si="0"/>
        <v>0</v>
      </c>
      <c r="D7" s="46">
        <f t="shared" si="0"/>
        <v>170</v>
      </c>
      <c r="E7" s="46">
        <f t="shared" si="0"/>
        <v>177</v>
      </c>
      <c r="F7" s="46">
        <f t="shared" si="0"/>
        <v>269</v>
      </c>
      <c r="G7" s="46">
        <f t="shared" si="0"/>
        <v>265</v>
      </c>
      <c r="H7" s="46"/>
      <c r="I7" s="46">
        <f t="shared" si="0"/>
        <v>881</v>
      </c>
      <c r="J7" s="46">
        <f t="shared" si="0"/>
        <v>881</v>
      </c>
      <c r="M7" s="106"/>
    </row>
    <row r="8" spans="1:10" ht="12.75">
      <c r="A8" s="51" t="s">
        <v>31</v>
      </c>
      <c r="B8" s="51">
        <v>0</v>
      </c>
      <c r="C8" s="47">
        <v>0</v>
      </c>
      <c r="D8" s="47">
        <v>0</v>
      </c>
      <c r="E8" s="47">
        <v>0</v>
      </c>
      <c r="F8" s="48">
        <v>41</v>
      </c>
      <c r="G8" s="48">
        <v>0</v>
      </c>
      <c r="I8" s="47">
        <f>SUM(B8:G8)</f>
        <v>41</v>
      </c>
      <c r="J8" s="56">
        <f>SUM(D8:G8)</f>
        <v>41</v>
      </c>
    </row>
    <row r="9" spans="1:10" ht="12.75">
      <c r="A9" s="51" t="s">
        <v>192</v>
      </c>
      <c r="B9" s="51">
        <v>0</v>
      </c>
      <c r="C9" s="47">
        <v>0</v>
      </c>
      <c r="D9" s="48">
        <v>170</v>
      </c>
      <c r="E9" s="48">
        <v>177</v>
      </c>
      <c r="F9" s="48">
        <v>228</v>
      </c>
      <c r="G9" s="48">
        <v>265</v>
      </c>
      <c r="I9" s="47">
        <f>SUM(B9:G9)</f>
        <v>840</v>
      </c>
      <c r="J9" s="56">
        <f>SUM(D9:G9)</f>
        <v>840</v>
      </c>
    </row>
    <row r="10" spans="1:10" ht="12.75">
      <c r="A10" s="51" t="s">
        <v>75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/>
      <c r="I10" s="47">
        <f>SUM(B10:G10)</f>
        <v>0</v>
      </c>
      <c r="J10" s="56">
        <f>SUM(D10:G10)</f>
        <v>0</v>
      </c>
    </row>
    <row r="11" spans="1:10" ht="12.75">
      <c r="A11" s="47"/>
      <c r="B11" s="47"/>
      <c r="C11" s="47"/>
      <c r="I11" s="47"/>
      <c r="J11" s="57"/>
    </row>
    <row r="12" spans="1:10" ht="12.75">
      <c r="A12" s="46" t="s">
        <v>68</v>
      </c>
      <c r="B12" s="47">
        <f aca="true" t="shared" si="1" ref="B12:G12">SUM(B8:B11)</f>
        <v>0</v>
      </c>
      <c r="C12" s="47">
        <f t="shared" si="1"/>
        <v>0</v>
      </c>
      <c r="D12" s="47">
        <f t="shared" si="1"/>
        <v>170</v>
      </c>
      <c r="E12" s="47">
        <f t="shared" si="1"/>
        <v>177</v>
      </c>
      <c r="F12" s="47">
        <f t="shared" si="1"/>
        <v>269</v>
      </c>
      <c r="G12" s="47">
        <f t="shared" si="1"/>
        <v>265</v>
      </c>
      <c r="H12" s="47"/>
      <c r="I12" s="47">
        <f>SUM(B12:G12)</f>
        <v>881</v>
      </c>
      <c r="J12" s="56">
        <f>SUM(D12:G12)</f>
        <v>881</v>
      </c>
    </row>
    <row r="13" spans="1:10" ht="12.75">
      <c r="A13" s="47"/>
      <c r="B13" s="47"/>
      <c r="C13" s="47"/>
      <c r="E13" s="47"/>
      <c r="F13" s="47"/>
      <c r="G13" s="47"/>
      <c r="H13" s="47"/>
      <c r="I13" s="47"/>
      <c r="J13" s="47"/>
    </row>
    <row r="15" spans="1:10" ht="12.75">
      <c r="A15" s="58"/>
      <c r="B15" s="47"/>
      <c r="C15" s="47"/>
      <c r="D15" s="47"/>
      <c r="E15" s="47"/>
      <c r="F15" s="47"/>
      <c r="G15" s="47"/>
      <c r="H15" s="47"/>
      <c r="I15" s="59"/>
      <c r="J15" s="47" t="s">
        <v>67</v>
      </c>
    </row>
    <row r="16" spans="1:10" ht="12.75">
      <c r="A16" s="60"/>
      <c r="B16" s="61">
        <v>2006</v>
      </c>
      <c r="C16" s="61">
        <v>2007</v>
      </c>
      <c r="D16" s="61">
        <v>2008</v>
      </c>
      <c r="E16" s="61">
        <v>2009</v>
      </c>
      <c r="F16" s="61">
        <v>2010</v>
      </c>
      <c r="G16" s="61">
        <v>2011</v>
      </c>
      <c r="H16" s="61">
        <v>2012</v>
      </c>
      <c r="I16" s="62" t="s">
        <v>59</v>
      </c>
      <c r="J16" s="53" t="s">
        <v>68</v>
      </c>
    </row>
    <row r="17" spans="1:9" ht="12.75">
      <c r="A17" s="58" t="s">
        <v>76</v>
      </c>
      <c r="B17" s="47"/>
      <c r="C17" s="47"/>
      <c r="D17" s="47"/>
      <c r="E17" s="47"/>
      <c r="F17" s="47"/>
      <c r="G17" s="47"/>
      <c r="H17" s="47"/>
      <c r="I17" s="57"/>
    </row>
    <row r="18" spans="1:10" ht="12.75">
      <c r="A18" s="63" t="s">
        <v>77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/>
      <c r="I18" s="56">
        <f aca="true" t="shared" si="2" ref="I18:I25">SUM(B18:G18)</f>
        <v>0</v>
      </c>
      <c r="J18" s="48">
        <f aca="true" t="shared" si="3" ref="J18:J25">SUM(D18:G18)</f>
        <v>0</v>
      </c>
    </row>
    <row r="19" spans="1:10" ht="12.75">
      <c r="A19" s="63" t="s">
        <v>78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/>
      <c r="I19" s="56">
        <f t="shared" si="2"/>
        <v>0</v>
      </c>
      <c r="J19" s="48">
        <f t="shared" si="3"/>
        <v>0</v>
      </c>
    </row>
    <row r="20" spans="1:10" ht="12.75">
      <c r="A20" s="48" t="s">
        <v>79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/>
      <c r="I20" s="56">
        <f t="shared" si="2"/>
        <v>0</v>
      </c>
      <c r="J20" s="48">
        <f t="shared" si="3"/>
        <v>0</v>
      </c>
    </row>
    <row r="21" spans="1:10" ht="12.75">
      <c r="A21" s="63" t="s">
        <v>80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/>
      <c r="I21" s="56">
        <f t="shared" si="2"/>
        <v>0</v>
      </c>
      <c r="J21" s="48">
        <f t="shared" si="3"/>
        <v>0</v>
      </c>
    </row>
    <row r="22" spans="1:10" ht="12.75">
      <c r="A22" s="63" t="s">
        <v>81</v>
      </c>
      <c r="B22" s="63">
        <f aca="true" t="shared" si="4" ref="B22:G22">SUM(B18:B21)</f>
        <v>0</v>
      </c>
      <c r="C22" s="63">
        <f t="shared" si="4"/>
        <v>0</v>
      </c>
      <c r="D22" s="63">
        <f t="shared" si="4"/>
        <v>0</v>
      </c>
      <c r="E22" s="63">
        <f t="shared" si="4"/>
        <v>0</v>
      </c>
      <c r="F22" s="63">
        <f t="shared" si="4"/>
        <v>0</v>
      </c>
      <c r="G22" s="63">
        <f t="shared" si="4"/>
        <v>0</v>
      </c>
      <c r="H22" s="63"/>
      <c r="I22" s="56">
        <f t="shared" si="2"/>
        <v>0</v>
      </c>
      <c r="J22" s="48">
        <f t="shared" si="3"/>
        <v>0</v>
      </c>
    </row>
    <row r="23" spans="1:10" ht="12.75">
      <c r="A23" s="63" t="s">
        <v>82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/>
      <c r="I23" s="56">
        <f t="shared" si="2"/>
        <v>0</v>
      </c>
      <c r="J23" s="48">
        <f t="shared" si="3"/>
        <v>0</v>
      </c>
    </row>
    <row r="24" spans="1:10" ht="12.75">
      <c r="A24" s="63" t="s">
        <v>83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/>
      <c r="I24" s="56">
        <f t="shared" si="2"/>
        <v>0</v>
      </c>
      <c r="J24" s="48">
        <f t="shared" si="3"/>
        <v>0</v>
      </c>
    </row>
    <row r="25" spans="1:10" ht="12.75">
      <c r="A25" s="48" t="s">
        <v>84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/>
      <c r="I25" s="56">
        <f t="shared" si="2"/>
        <v>0</v>
      </c>
      <c r="J25" s="48">
        <f t="shared" si="3"/>
        <v>0</v>
      </c>
    </row>
    <row r="27" spans="1:10" ht="12.75">
      <c r="A27" s="70" t="s">
        <v>34</v>
      </c>
      <c r="B27" s="60"/>
      <c r="C27" s="60"/>
      <c r="D27" s="60"/>
      <c r="E27" s="60"/>
      <c r="F27" s="60"/>
      <c r="G27" s="60"/>
      <c r="H27" s="60"/>
      <c r="I27" s="61"/>
      <c r="J27" s="61"/>
    </row>
    <row r="28" spans="1:10" ht="12.75">
      <c r="A28" s="78" t="s">
        <v>91</v>
      </c>
      <c r="B28" s="61">
        <f aca="true" t="shared" si="5" ref="B28:G28">SUM(B29:B29)</f>
        <v>0</v>
      </c>
      <c r="C28" s="61">
        <f t="shared" si="5"/>
        <v>0</v>
      </c>
      <c r="D28" s="61">
        <f t="shared" si="5"/>
        <v>0</v>
      </c>
      <c r="E28" s="61">
        <f t="shared" si="5"/>
        <v>0</v>
      </c>
      <c r="F28" s="61">
        <f t="shared" si="5"/>
        <v>44</v>
      </c>
      <c r="G28" s="61">
        <f t="shared" si="5"/>
        <v>44</v>
      </c>
      <c r="H28" s="61"/>
      <c r="I28" s="97" t="s">
        <v>59</v>
      </c>
      <c r="J28" s="61">
        <f>SUM(B28:G28)</f>
        <v>88</v>
      </c>
    </row>
    <row r="29" spans="1:10" ht="12.75">
      <c r="A29" s="108" t="s">
        <v>193</v>
      </c>
      <c r="B29" s="60">
        <v>0</v>
      </c>
      <c r="C29" s="61">
        <v>0</v>
      </c>
      <c r="D29" s="61">
        <v>0</v>
      </c>
      <c r="E29" s="61">
        <v>0</v>
      </c>
      <c r="F29" s="61">
        <v>44</v>
      </c>
      <c r="G29" s="61">
        <v>44</v>
      </c>
      <c r="H29" s="61"/>
      <c r="I29" s="97" t="s">
        <v>192</v>
      </c>
      <c r="J29" s="61">
        <f>SUM(B29:G29)</f>
        <v>88</v>
      </c>
    </row>
    <row r="30" spans="1:10" ht="12.75">
      <c r="A30" s="61"/>
      <c r="B30" s="60"/>
      <c r="C30" s="60"/>
      <c r="D30" s="61"/>
      <c r="E30" s="61"/>
      <c r="F30" s="61"/>
      <c r="G30" s="61"/>
      <c r="H30" s="61"/>
      <c r="I30" s="96"/>
      <c r="J30" s="61"/>
    </row>
    <row r="31" spans="1:10" ht="12.75">
      <c r="A31" s="60"/>
      <c r="B31" s="60"/>
      <c r="C31" s="60"/>
      <c r="D31" s="60"/>
      <c r="E31" s="60"/>
      <c r="F31" s="60"/>
      <c r="G31" s="60"/>
      <c r="H31" s="60"/>
      <c r="I31" s="96"/>
      <c r="J31" s="61"/>
    </row>
    <row r="32" spans="1:17" ht="12.75">
      <c r="A32" s="60"/>
      <c r="B32" s="60"/>
      <c r="C32" s="60"/>
      <c r="D32" s="60"/>
      <c r="E32" s="60"/>
      <c r="F32" s="60"/>
      <c r="G32" s="60"/>
      <c r="H32" s="60"/>
      <c r="I32" s="96"/>
      <c r="J32" s="61"/>
      <c r="L32" s="48" t="s">
        <v>94</v>
      </c>
      <c r="M32" s="48" t="s">
        <v>95</v>
      </c>
      <c r="N32" s="48" t="s">
        <v>96</v>
      </c>
      <c r="O32" s="48" t="s">
        <v>96</v>
      </c>
      <c r="P32" s="48" t="s">
        <v>97</v>
      </c>
      <c r="Q32" s="48" t="s">
        <v>98</v>
      </c>
    </row>
    <row r="33" spans="1:17" ht="12.75">
      <c r="A33" s="60" t="s">
        <v>194</v>
      </c>
      <c r="B33" s="60"/>
      <c r="C33" s="60"/>
      <c r="D33" s="60"/>
      <c r="E33" s="60"/>
      <c r="F33" s="60"/>
      <c r="G33" s="60"/>
      <c r="H33" s="60"/>
      <c r="I33" s="96"/>
      <c r="J33" s="61"/>
      <c r="M33" s="80">
        <v>38976</v>
      </c>
      <c r="N33" s="48" t="s">
        <v>104</v>
      </c>
      <c r="O33" s="48" t="s">
        <v>105</v>
      </c>
      <c r="Q33" s="48" t="s">
        <v>107</v>
      </c>
    </row>
    <row r="34" spans="1:10" ht="12.75">
      <c r="A34" s="60" t="s">
        <v>195</v>
      </c>
      <c r="B34" s="60"/>
      <c r="C34" s="60"/>
      <c r="D34" s="60"/>
      <c r="E34" s="60"/>
      <c r="F34" s="60"/>
      <c r="G34" s="60"/>
      <c r="H34" s="60"/>
      <c r="I34" s="96"/>
      <c r="J34" s="61"/>
    </row>
    <row r="35" spans="1:16" ht="12.75">
      <c r="A35" s="100" t="s">
        <v>196</v>
      </c>
      <c r="B35" s="100"/>
      <c r="C35" s="100"/>
      <c r="D35" s="100"/>
      <c r="E35" s="61"/>
      <c r="F35" s="61"/>
      <c r="G35" s="61"/>
      <c r="H35" s="61"/>
      <c r="I35" s="96"/>
      <c r="J35" s="61"/>
      <c r="L35" s="48">
        <v>110</v>
      </c>
      <c r="M35" s="48" t="s">
        <v>197</v>
      </c>
      <c r="N35" s="48">
        <v>130.5</v>
      </c>
      <c r="O35" s="82">
        <f>N35/5</f>
        <v>26.1</v>
      </c>
      <c r="P35" s="48">
        <v>503</v>
      </c>
    </row>
    <row r="36" spans="1:16" ht="12.75">
      <c r="A36" s="60" t="s">
        <v>163</v>
      </c>
      <c r="B36" s="100"/>
      <c r="C36" s="100"/>
      <c r="D36" s="100"/>
      <c r="E36" s="61"/>
      <c r="F36" s="48" t="s">
        <v>115</v>
      </c>
      <c r="L36" s="48">
        <v>120</v>
      </c>
      <c r="M36" s="48" t="s">
        <v>198</v>
      </c>
      <c r="N36" s="48">
        <v>130.5</v>
      </c>
      <c r="O36" s="82">
        <f aca="true" t="shared" si="6" ref="O36:O44">N36/5</f>
        <v>26.1</v>
      </c>
      <c r="P36" s="48">
        <v>70</v>
      </c>
    </row>
    <row r="37" spans="1:16" ht="12.75">
      <c r="A37" s="100"/>
      <c r="B37" s="100"/>
      <c r="C37" s="100"/>
      <c r="D37" s="100"/>
      <c r="E37" s="61"/>
      <c r="F37" s="48" t="s">
        <v>116</v>
      </c>
      <c r="G37" s="48" t="s">
        <v>117</v>
      </c>
      <c r="H37" s="48" t="s">
        <v>118</v>
      </c>
      <c r="I37" s="48" t="s">
        <v>117</v>
      </c>
      <c r="J37" s="48" t="s">
        <v>119</v>
      </c>
      <c r="K37" s="48" t="s">
        <v>117</v>
      </c>
      <c r="L37" s="48">
        <v>130</v>
      </c>
      <c r="M37" s="48" t="s">
        <v>199</v>
      </c>
      <c r="N37" s="48">
        <v>43.5</v>
      </c>
      <c r="O37" s="82">
        <f t="shared" si="6"/>
        <v>8.7</v>
      </c>
      <c r="P37" s="48">
        <v>101</v>
      </c>
    </row>
    <row r="38" spans="1:17" ht="12.75">
      <c r="A38" s="48" t="s">
        <v>100</v>
      </c>
      <c r="B38" s="48" t="s">
        <v>26</v>
      </c>
      <c r="C38" s="48" t="s">
        <v>101</v>
      </c>
      <c r="D38" s="48" t="s">
        <v>102</v>
      </c>
      <c r="E38" s="48" t="s">
        <v>103</v>
      </c>
      <c r="F38" s="48" t="s">
        <v>121</v>
      </c>
      <c r="G38" s="48" t="s">
        <v>122</v>
      </c>
      <c r="H38" s="48" t="s">
        <v>121</v>
      </c>
      <c r="I38" s="48" t="s">
        <v>122</v>
      </c>
      <c r="J38" s="48" t="s">
        <v>121</v>
      </c>
      <c r="K38" s="48" t="s">
        <v>122</v>
      </c>
      <c r="L38" s="48">
        <v>140</v>
      </c>
      <c r="M38" s="48" t="s">
        <v>200</v>
      </c>
      <c r="N38" s="48">
        <v>10.88</v>
      </c>
      <c r="O38" s="82">
        <f t="shared" si="6"/>
        <v>2.176</v>
      </c>
      <c r="Q38" s="48">
        <v>22</v>
      </c>
    </row>
    <row r="39" spans="1:17" ht="12.75">
      <c r="A39" s="60" t="s">
        <v>201</v>
      </c>
      <c r="B39" s="148">
        <v>37</v>
      </c>
      <c r="C39" s="48" t="s">
        <v>109</v>
      </c>
      <c r="D39" s="81">
        <v>7.5</v>
      </c>
      <c r="E39" s="48">
        <f aca="true" t="shared" si="7" ref="E39:E44">B39*D39</f>
        <v>277.5</v>
      </c>
      <c r="F39" s="48">
        <v>40</v>
      </c>
      <c r="G39" s="82">
        <f aca="true" t="shared" si="8" ref="G39:G44">B39/F39</f>
        <v>0.925</v>
      </c>
      <c r="J39" s="48">
        <v>10</v>
      </c>
      <c r="K39" s="82">
        <f>B39/J39</f>
        <v>3.7</v>
      </c>
      <c r="L39" s="48">
        <v>210</v>
      </c>
      <c r="M39" s="48" t="s">
        <v>202</v>
      </c>
      <c r="N39" s="48">
        <v>21.75</v>
      </c>
      <c r="O39" s="82">
        <f t="shared" si="6"/>
        <v>4.35</v>
      </c>
      <c r="Q39" s="48">
        <v>22</v>
      </c>
    </row>
    <row r="40" spans="1:16" ht="12.75">
      <c r="A40" s="109" t="s">
        <v>203</v>
      </c>
      <c r="B40" s="106">
        <f>crateDISC</f>
        <v>30</v>
      </c>
      <c r="C40" s="106" t="s">
        <v>109</v>
      </c>
      <c r="D40" s="110">
        <v>5.2</v>
      </c>
      <c r="E40" s="106">
        <f t="shared" si="7"/>
        <v>156</v>
      </c>
      <c r="F40" s="106">
        <v>40</v>
      </c>
      <c r="G40" s="111">
        <f t="shared" si="8"/>
        <v>0.75</v>
      </c>
      <c r="H40" s="106"/>
      <c r="I40" s="106"/>
      <c r="J40" s="106">
        <v>10</v>
      </c>
      <c r="K40" s="111">
        <f>B40/J40</f>
        <v>3</v>
      </c>
      <c r="L40" s="106">
        <v>220</v>
      </c>
      <c r="M40" s="48" t="s">
        <v>204</v>
      </c>
      <c r="N40" s="48">
        <v>130.5</v>
      </c>
      <c r="O40" s="82">
        <f t="shared" si="6"/>
        <v>26.1</v>
      </c>
      <c r="P40" s="48">
        <v>17</v>
      </c>
    </row>
    <row r="41" spans="1:17" ht="12.75">
      <c r="A41" s="60" t="s">
        <v>205</v>
      </c>
      <c r="B41" s="148">
        <v>59</v>
      </c>
      <c r="C41" s="48" t="s">
        <v>109</v>
      </c>
      <c r="D41" s="81">
        <v>1.5</v>
      </c>
      <c r="E41" s="48">
        <f t="shared" si="7"/>
        <v>88.5</v>
      </c>
      <c r="F41" s="48">
        <v>80</v>
      </c>
      <c r="G41" s="82">
        <f t="shared" si="8"/>
        <v>0.7375</v>
      </c>
      <c r="K41" s="82"/>
      <c r="L41" s="48">
        <v>230</v>
      </c>
      <c r="M41" s="48" t="s">
        <v>206</v>
      </c>
      <c r="N41" s="48">
        <v>10.88</v>
      </c>
      <c r="O41" s="82">
        <f t="shared" si="6"/>
        <v>2.176</v>
      </c>
      <c r="Q41" s="48">
        <v>22</v>
      </c>
    </row>
    <row r="42" spans="1:17" ht="12.75">
      <c r="A42" s="60" t="s">
        <v>207</v>
      </c>
      <c r="B42" s="148">
        <v>12</v>
      </c>
      <c r="C42" s="48" t="s">
        <v>109</v>
      </c>
      <c r="D42" s="81">
        <v>1.7</v>
      </c>
      <c r="E42" s="48">
        <f t="shared" si="7"/>
        <v>20.4</v>
      </c>
      <c r="F42" s="48">
        <v>80</v>
      </c>
      <c r="G42" s="82">
        <f t="shared" si="8"/>
        <v>0.15</v>
      </c>
      <c r="K42" s="82"/>
      <c r="L42" s="48">
        <v>240</v>
      </c>
      <c r="M42" s="48" t="s">
        <v>208</v>
      </c>
      <c r="N42" s="48">
        <v>10.88</v>
      </c>
      <c r="O42" s="82">
        <f t="shared" si="6"/>
        <v>2.176</v>
      </c>
      <c r="Q42" s="48">
        <v>22</v>
      </c>
    </row>
    <row r="43" spans="1:17" ht="12.75">
      <c r="A43" s="149" t="s">
        <v>249</v>
      </c>
      <c r="B43" s="148">
        <v>22</v>
      </c>
      <c r="C43" s="48" t="s">
        <v>109</v>
      </c>
      <c r="D43" s="81">
        <v>2.5</v>
      </c>
      <c r="E43" s="48">
        <f t="shared" si="7"/>
        <v>55</v>
      </c>
      <c r="F43" s="48">
        <v>80</v>
      </c>
      <c r="G43" s="82">
        <f t="shared" si="8"/>
        <v>0.275</v>
      </c>
      <c r="K43" s="82"/>
      <c r="L43" s="48">
        <v>310</v>
      </c>
      <c r="M43" s="106" t="s">
        <v>209</v>
      </c>
      <c r="N43" s="106">
        <v>130.5</v>
      </c>
      <c r="O43" s="111">
        <f t="shared" si="6"/>
        <v>26.1</v>
      </c>
      <c r="P43" s="106">
        <v>156</v>
      </c>
      <c r="Q43" s="106"/>
    </row>
    <row r="44" spans="1:16" ht="12.75">
      <c r="A44" s="60" t="s">
        <v>210</v>
      </c>
      <c r="B44" s="48">
        <f>numracks</f>
        <v>36</v>
      </c>
      <c r="C44" s="48" t="s">
        <v>109</v>
      </c>
      <c r="D44" s="81">
        <v>1</v>
      </c>
      <c r="E44" s="48">
        <f t="shared" si="7"/>
        <v>36</v>
      </c>
      <c r="F44" s="48">
        <v>80</v>
      </c>
      <c r="G44" s="82">
        <f t="shared" si="8"/>
        <v>0.45</v>
      </c>
      <c r="K44" s="82"/>
      <c r="L44" s="48">
        <v>410</v>
      </c>
      <c r="M44" s="48" t="s">
        <v>211</v>
      </c>
      <c r="N44" s="48">
        <v>130.5</v>
      </c>
      <c r="O44" s="82">
        <f t="shared" si="6"/>
        <v>26.1</v>
      </c>
      <c r="P44" s="48">
        <v>36</v>
      </c>
    </row>
    <row r="45" spans="1:10" ht="12.75">
      <c r="A45" s="60"/>
      <c r="D45" s="81"/>
      <c r="F45" s="61"/>
      <c r="G45" s="61"/>
      <c r="H45" s="61"/>
      <c r="I45" s="96"/>
      <c r="J45" s="61"/>
    </row>
    <row r="46" spans="1:17" ht="12.75">
      <c r="A46" s="108" t="s">
        <v>68</v>
      </c>
      <c r="B46" s="60" t="s">
        <v>34</v>
      </c>
      <c r="C46" s="60"/>
      <c r="D46" s="61"/>
      <c r="E46" s="61">
        <f>SUM(E39:E44)</f>
        <v>633.4</v>
      </c>
      <c r="F46" s="61"/>
      <c r="G46" s="61"/>
      <c r="H46" s="61"/>
      <c r="I46" s="96"/>
      <c r="J46" s="61"/>
      <c r="M46" s="48" t="s">
        <v>68</v>
      </c>
      <c r="O46" s="48">
        <f>SUM(O35:O44)</f>
        <v>150.078</v>
      </c>
      <c r="P46" s="48">
        <f>SUM(P35:P44)</f>
        <v>883</v>
      </c>
      <c r="Q46" s="48">
        <f>SUM(Q35:Q44)</f>
        <v>88</v>
      </c>
    </row>
    <row r="47" spans="1:10" ht="12.75">
      <c r="A47" s="108"/>
      <c r="B47" s="60"/>
      <c r="D47" s="61"/>
      <c r="F47" s="61"/>
      <c r="G47" s="61"/>
      <c r="H47" s="61"/>
      <c r="I47" s="96"/>
      <c r="J47" s="61"/>
    </row>
    <row r="48" spans="6:10" ht="12.75">
      <c r="F48" s="61"/>
      <c r="G48" s="61"/>
      <c r="H48" s="61"/>
      <c r="I48" s="96"/>
      <c r="J48" s="61"/>
    </row>
    <row r="49" spans="1:10" ht="12.75">
      <c r="A49" s="61"/>
      <c r="B49" s="60"/>
      <c r="C49" s="60"/>
      <c r="D49" s="61"/>
      <c r="E49" s="61"/>
      <c r="F49" s="61"/>
      <c r="G49" s="61"/>
      <c r="H49" s="61"/>
      <c r="I49" s="96"/>
      <c r="J49" s="61"/>
    </row>
    <row r="50" spans="6:10" ht="12.75">
      <c r="F50" s="61"/>
      <c r="G50" s="61"/>
      <c r="H50" s="61"/>
      <c r="I50" s="96"/>
      <c r="J50" s="61"/>
    </row>
    <row r="51" spans="1:10" ht="12.75">
      <c r="A51" s="61"/>
      <c r="B51" s="60"/>
      <c r="C51" s="60"/>
      <c r="D51" s="61"/>
      <c r="E51" s="61"/>
      <c r="F51" s="61"/>
      <c r="G51" s="61"/>
      <c r="H51" s="61"/>
      <c r="I51" s="96"/>
      <c r="J51" s="61"/>
    </row>
    <row r="52" spans="1:10" ht="12.75">
      <c r="A52" s="61"/>
      <c r="B52" s="60"/>
      <c r="C52" s="60"/>
      <c r="D52" s="61"/>
      <c r="E52" s="61"/>
      <c r="F52" s="61"/>
      <c r="G52" s="61"/>
      <c r="H52" s="61"/>
      <c r="I52" s="96"/>
      <c r="J52" s="61"/>
    </row>
    <row r="53" spans="1:10" ht="12.75">
      <c r="A53" s="78"/>
      <c r="B53" s="60"/>
      <c r="C53" s="60"/>
      <c r="D53" s="60"/>
      <c r="E53" s="60"/>
      <c r="F53" s="60"/>
      <c r="G53" s="60"/>
      <c r="H53" s="60"/>
      <c r="I53" s="62"/>
      <c r="J53" s="60"/>
    </row>
    <row r="54" spans="1:10" ht="12.75">
      <c r="A54" s="98"/>
      <c r="B54" s="62"/>
      <c r="C54" s="60"/>
      <c r="D54" s="60"/>
      <c r="E54" s="60"/>
      <c r="F54" s="60"/>
      <c r="G54" s="60"/>
      <c r="H54" s="60"/>
      <c r="I54" s="96"/>
      <c r="J54" s="61"/>
    </row>
    <row r="55" spans="1:10" ht="12.75">
      <c r="A55" s="98"/>
      <c r="B55" s="60"/>
      <c r="C55" s="60"/>
      <c r="D55" s="60"/>
      <c r="E55" s="60"/>
      <c r="F55" s="60"/>
      <c r="G55" s="60"/>
      <c r="H55" s="60"/>
      <c r="I55" s="96"/>
      <c r="J55" s="61"/>
    </row>
    <row r="56" spans="1:10" ht="12.75">
      <c r="A56" s="98"/>
      <c r="B56" s="60"/>
      <c r="C56" s="60"/>
      <c r="D56" s="60"/>
      <c r="E56" s="60"/>
      <c r="F56" s="60"/>
      <c r="G56" s="60"/>
      <c r="H56" s="60"/>
      <c r="I56" s="96"/>
      <c r="J56" s="61"/>
    </row>
    <row r="57" spans="1:10" ht="12.75">
      <c r="A57" s="98"/>
      <c r="B57" s="60"/>
      <c r="C57" s="60"/>
      <c r="D57" s="60"/>
      <c r="E57" s="60"/>
      <c r="F57" s="60"/>
      <c r="G57" s="60"/>
      <c r="H57" s="60"/>
      <c r="I57" s="96"/>
      <c r="J57" s="61"/>
    </row>
    <row r="58" spans="1:10" ht="12.75">
      <c r="A58" s="98"/>
      <c r="B58" s="60"/>
      <c r="C58" s="60"/>
      <c r="D58" s="60"/>
      <c r="E58" s="60"/>
      <c r="F58" s="60"/>
      <c r="G58" s="60"/>
      <c r="H58" s="60"/>
      <c r="I58" s="96"/>
      <c r="J58" s="61"/>
    </row>
    <row r="59" spans="1:10" ht="12.75">
      <c r="A59" s="98"/>
      <c r="B59" s="60"/>
      <c r="C59" s="60"/>
      <c r="D59" s="60"/>
      <c r="E59" s="60"/>
      <c r="F59" s="60"/>
      <c r="G59" s="60"/>
      <c r="H59" s="60"/>
      <c r="I59" s="96"/>
      <c r="J59" s="61"/>
    </row>
    <row r="60" spans="1:10" ht="12.75">
      <c r="A60" s="98"/>
      <c r="B60" s="60"/>
      <c r="C60" s="60"/>
      <c r="D60" s="60"/>
      <c r="E60" s="60"/>
      <c r="F60" s="60"/>
      <c r="G60" s="60"/>
      <c r="H60" s="60"/>
      <c r="I60" s="96"/>
      <c r="J60" s="61"/>
    </row>
    <row r="61" spans="1:10" ht="12.75">
      <c r="A61" s="98"/>
      <c r="B61" s="60"/>
      <c r="C61" s="60"/>
      <c r="D61" s="60"/>
      <c r="E61" s="60"/>
      <c r="F61" s="60"/>
      <c r="G61" s="60"/>
      <c r="H61" s="60"/>
      <c r="I61" s="96"/>
      <c r="J61" s="61"/>
    </row>
    <row r="62" spans="1:10" ht="12.75">
      <c r="A62" s="98"/>
      <c r="B62" s="60"/>
      <c r="C62" s="60"/>
      <c r="D62" s="60"/>
      <c r="E62" s="60"/>
      <c r="F62" s="60"/>
      <c r="G62" s="60"/>
      <c r="H62" s="60"/>
      <c r="I62" s="96"/>
      <c r="J62" s="61"/>
    </row>
    <row r="63" spans="1:10" ht="12.75">
      <c r="A63" s="98"/>
      <c r="B63" s="60"/>
      <c r="C63" s="60"/>
      <c r="D63" s="60"/>
      <c r="E63" s="60"/>
      <c r="F63" s="60"/>
      <c r="G63" s="60"/>
      <c r="H63" s="60"/>
      <c r="I63" s="96"/>
      <c r="J63" s="61"/>
    </row>
    <row r="64" spans="1:10" ht="12.75">
      <c r="A64" s="98"/>
      <c r="B64" s="60"/>
      <c r="C64" s="60"/>
      <c r="D64" s="60"/>
      <c r="E64" s="60"/>
      <c r="F64" s="60"/>
      <c r="G64" s="60"/>
      <c r="H64" s="60"/>
      <c r="I64" s="96"/>
      <c r="J64" s="61"/>
    </row>
    <row r="65" spans="1:10" ht="12.75">
      <c r="A65" s="98"/>
      <c r="B65" s="60"/>
      <c r="C65" s="60"/>
      <c r="D65" s="60"/>
      <c r="E65" s="60"/>
      <c r="F65" s="60"/>
      <c r="G65" s="60"/>
      <c r="H65" s="60"/>
      <c r="I65" s="96"/>
      <c r="J65" s="61"/>
    </row>
    <row r="66" spans="1:10" ht="12.75">
      <c r="A66" s="98"/>
      <c r="B66" s="60"/>
      <c r="C66" s="60"/>
      <c r="D66" s="60"/>
      <c r="E66" s="60"/>
      <c r="F66" s="60"/>
      <c r="G66" s="60"/>
      <c r="H66" s="60"/>
      <c r="I66" s="96"/>
      <c r="J66" s="61"/>
    </row>
    <row r="67" spans="1:10" ht="12.75">
      <c r="A67" s="60"/>
      <c r="B67" s="60"/>
      <c r="C67" s="60"/>
      <c r="D67" s="60"/>
      <c r="E67" s="60"/>
      <c r="F67" s="60"/>
      <c r="G67" s="60"/>
      <c r="H67" s="60"/>
      <c r="I67" s="61"/>
      <c r="J67" s="61"/>
    </row>
  </sheetData>
  <printOptions gridLines="1"/>
  <pageMargins left="0.75" right="0.75" top="1" bottom="1" header="0.511811023" footer="0.511811023"/>
  <pageSetup horizontalDpi="600" verticalDpi="600" orientation="landscape" r:id="rId1"/>
  <headerFooter alignWithMargins="0">
    <oddHeader>&amp;C&amp;A</oddHeader>
    <oddFooter>&amp;CSeite &amp;P</oddFooter>
  </headerFooter>
  <ignoredErrors>
    <ignoredError sqref="J19:J24 J8:J10 J18 J25 B7:G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M22" sqref="M22"/>
    </sheetView>
  </sheetViews>
  <sheetFormatPr defaultColWidth="9.140625" defaultRowHeight="12.75"/>
  <cols>
    <col min="1" max="1" width="28.8515625" style="48" customWidth="1"/>
    <col min="2" max="2" width="9.140625" style="48" customWidth="1"/>
    <col min="3" max="3" width="8.57421875" style="48" customWidth="1"/>
    <col min="4" max="4" width="9.57421875" style="48" customWidth="1"/>
    <col min="5" max="5" width="9.140625" style="48" customWidth="1"/>
    <col min="6" max="6" width="9.00390625" style="48" customWidth="1"/>
    <col min="7" max="7" width="9.140625" style="48" customWidth="1"/>
    <col min="8" max="8" width="8.28125" style="48" customWidth="1"/>
    <col min="9" max="9" width="7.8515625" style="48" customWidth="1"/>
    <col min="10" max="10" width="11.421875" style="48" customWidth="1"/>
    <col min="11" max="11" width="8.421875" style="48" customWidth="1"/>
    <col min="12" max="12" width="11.421875" style="48" customWidth="1"/>
    <col min="13" max="13" width="38.8515625" style="48" bestFit="1" customWidth="1"/>
    <col min="14" max="16384" width="11.421875" style="48" customWidth="1"/>
  </cols>
  <sheetData>
    <row r="1" spans="1:12" ht="12.75">
      <c r="A1" t="s">
        <v>236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</row>
    <row r="2" spans="1:13" ht="12.75">
      <c r="A2" s="1" t="s">
        <v>7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0" ht="12.75">
      <c r="A3" s="2" t="s">
        <v>245</v>
      </c>
      <c r="B3" s="46"/>
      <c r="C3" s="47"/>
      <c r="D3" s="47"/>
      <c r="E3" s="47"/>
      <c r="F3" s="47"/>
      <c r="G3" s="47"/>
      <c r="H3" s="47"/>
      <c r="I3" s="47"/>
      <c r="J3" s="49" t="s">
        <v>67</v>
      </c>
    </row>
    <row r="4" spans="1:10" ht="12.75">
      <c r="A4" s="50"/>
      <c r="B4" s="51">
        <v>-1</v>
      </c>
      <c r="C4" s="51">
        <v>0</v>
      </c>
      <c r="D4" s="51">
        <v>1</v>
      </c>
      <c r="E4" s="51">
        <v>2</v>
      </c>
      <c r="F4" s="51">
        <v>3</v>
      </c>
      <c r="G4" s="51">
        <v>4</v>
      </c>
      <c r="H4" s="51">
        <v>5</v>
      </c>
      <c r="I4" s="52" t="s">
        <v>68</v>
      </c>
      <c r="J4" s="53" t="s">
        <v>68</v>
      </c>
    </row>
    <row r="5" spans="1:10" ht="12.75">
      <c r="A5" s="54"/>
      <c r="B5" s="51"/>
      <c r="C5" s="51"/>
      <c r="D5" s="51"/>
      <c r="E5" s="51"/>
      <c r="F5" s="51"/>
      <c r="G5" s="51"/>
      <c r="H5" s="51"/>
      <c r="I5" s="52"/>
      <c r="J5" s="53"/>
    </row>
    <row r="6" spans="1:10" ht="12.75">
      <c r="A6" s="47" t="s">
        <v>212</v>
      </c>
      <c r="B6" s="47"/>
      <c r="C6" s="47"/>
      <c r="D6" s="47">
        <f>D7-50</f>
        <v>5</v>
      </c>
      <c r="E6" s="47">
        <f>E7-50</f>
        <v>13</v>
      </c>
      <c r="F6" s="47">
        <f>F7-50</f>
        <v>40</v>
      </c>
      <c r="G6" s="47"/>
      <c r="H6" s="47"/>
      <c r="I6" s="47"/>
      <c r="J6" s="47"/>
    </row>
    <row r="7" spans="1:10" ht="12.75">
      <c r="A7" s="46" t="s">
        <v>25</v>
      </c>
      <c r="B7" s="46">
        <f aca="true" t="shared" si="0" ref="B7:G7">SUM(B8:B11)</f>
        <v>0</v>
      </c>
      <c r="C7" s="46">
        <f t="shared" si="0"/>
        <v>0</v>
      </c>
      <c r="D7" s="46">
        <f t="shared" si="0"/>
        <v>55</v>
      </c>
      <c r="E7" s="46">
        <f t="shared" si="0"/>
        <v>63</v>
      </c>
      <c r="F7" s="46">
        <f t="shared" si="0"/>
        <v>90</v>
      </c>
      <c r="G7" s="46">
        <f t="shared" si="0"/>
        <v>40</v>
      </c>
      <c r="H7" s="46"/>
      <c r="I7" s="46">
        <f aca="true" t="shared" si="1" ref="I7:I12">SUM(B7:G7)</f>
        <v>248</v>
      </c>
      <c r="J7" s="46">
        <f aca="true" t="shared" si="2" ref="J7:J12">SUM(D7:G7)</f>
        <v>248</v>
      </c>
    </row>
    <row r="8" spans="1:10" ht="12.75">
      <c r="A8" s="51" t="s">
        <v>213</v>
      </c>
      <c r="B8" s="51">
        <v>0</v>
      </c>
      <c r="C8" s="47">
        <v>0</v>
      </c>
      <c r="D8" s="48">
        <v>15</v>
      </c>
      <c r="E8" s="48">
        <v>0</v>
      </c>
      <c r="F8" s="48">
        <v>25</v>
      </c>
      <c r="G8" s="48">
        <v>0</v>
      </c>
      <c r="I8" s="51">
        <f t="shared" si="1"/>
        <v>40</v>
      </c>
      <c r="J8" s="46">
        <f t="shared" si="2"/>
        <v>40</v>
      </c>
    </row>
    <row r="9" spans="1:10" ht="12.75">
      <c r="A9" s="51" t="s">
        <v>214</v>
      </c>
      <c r="B9" s="51">
        <v>0</v>
      </c>
      <c r="C9" s="47">
        <v>0</v>
      </c>
      <c r="D9" s="48" t="s">
        <v>34</v>
      </c>
      <c r="E9" s="48">
        <v>10</v>
      </c>
      <c r="F9" s="48">
        <v>20</v>
      </c>
      <c r="G9" s="48">
        <v>15</v>
      </c>
      <c r="I9" s="51">
        <f t="shared" si="1"/>
        <v>45</v>
      </c>
      <c r="J9" s="46">
        <f t="shared" si="2"/>
        <v>45</v>
      </c>
    </row>
    <row r="10" spans="1:13" ht="12.75">
      <c r="A10" s="48" t="s">
        <v>215</v>
      </c>
      <c r="B10" s="51">
        <v>0</v>
      </c>
      <c r="C10" s="47">
        <v>0</v>
      </c>
      <c r="D10" s="48">
        <v>0</v>
      </c>
      <c r="E10" s="48">
        <v>20</v>
      </c>
      <c r="F10" s="48">
        <v>45</v>
      </c>
      <c r="G10" s="48">
        <v>25</v>
      </c>
      <c r="I10" s="51">
        <f t="shared" si="1"/>
        <v>90</v>
      </c>
      <c r="J10" s="46">
        <f t="shared" si="2"/>
        <v>90</v>
      </c>
      <c r="M10" s="106"/>
    </row>
    <row r="11" spans="1:13" ht="25.5">
      <c r="A11" s="112" t="s">
        <v>216</v>
      </c>
      <c r="B11" s="112">
        <v>0</v>
      </c>
      <c r="C11" s="113">
        <v>0</v>
      </c>
      <c r="D11" s="112">
        <v>40</v>
      </c>
      <c r="E11" s="112">
        <v>33</v>
      </c>
      <c r="F11" s="112">
        <v>0</v>
      </c>
      <c r="G11" s="112">
        <v>0</v>
      </c>
      <c r="H11" s="112"/>
      <c r="I11" s="112">
        <f t="shared" si="1"/>
        <v>73</v>
      </c>
      <c r="J11" s="114">
        <f t="shared" si="2"/>
        <v>73</v>
      </c>
      <c r="M11" s="115" t="s">
        <v>217</v>
      </c>
    </row>
    <row r="12" spans="1:13" ht="12.75">
      <c r="A12" s="51" t="s">
        <v>75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/>
      <c r="I12" s="51">
        <f t="shared" si="1"/>
        <v>0</v>
      </c>
      <c r="J12" s="46">
        <f t="shared" si="2"/>
        <v>0</v>
      </c>
      <c r="M12" s="106"/>
    </row>
    <row r="13" spans="1:10" ht="12.75">
      <c r="A13" s="47"/>
      <c r="B13" s="47"/>
      <c r="C13" s="47"/>
      <c r="I13" s="47"/>
      <c r="J13" s="57"/>
    </row>
    <row r="14" spans="1:10" ht="12.75">
      <c r="A14" s="46" t="s">
        <v>68</v>
      </c>
      <c r="B14" s="47">
        <f aca="true" t="shared" si="3" ref="B14:G14">SUM(B8:B12)</f>
        <v>0</v>
      </c>
      <c r="C14" s="47">
        <f t="shared" si="3"/>
        <v>0</v>
      </c>
      <c r="D14" s="47">
        <f t="shared" si="3"/>
        <v>55</v>
      </c>
      <c r="E14" s="47">
        <f t="shared" si="3"/>
        <v>63</v>
      </c>
      <c r="F14" s="47">
        <f t="shared" si="3"/>
        <v>90</v>
      </c>
      <c r="G14" s="47">
        <f t="shared" si="3"/>
        <v>40</v>
      </c>
      <c r="H14" s="47"/>
      <c r="I14" s="47">
        <f>SUM(B14:G14)</f>
        <v>248</v>
      </c>
      <c r="J14" s="56">
        <f>SUM(D14:G14)</f>
        <v>248</v>
      </c>
    </row>
    <row r="15" spans="1:10" ht="12.75">
      <c r="A15" s="47"/>
      <c r="B15" s="47"/>
      <c r="C15" s="47"/>
      <c r="E15" s="47"/>
      <c r="F15" s="47"/>
      <c r="G15" s="47"/>
      <c r="H15" s="47"/>
      <c r="I15" s="47"/>
      <c r="J15" s="47"/>
    </row>
    <row r="17" spans="1:10" ht="12.75">
      <c r="A17" s="58"/>
      <c r="B17" s="47"/>
      <c r="C17" s="47"/>
      <c r="D17" s="47"/>
      <c r="E17" s="47"/>
      <c r="F17" s="47"/>
      <c r="G17" s="47"/>
      <c r="H17" s="47"/>
      <c r="I17" s="59"/>
      <c r="J17" s="47" t="s">
        <v>67</v>
      </c>
    </row>
    <row r="18" spans="1:10" ht="12.75">
      <c r="A18" s="60"/>
      <c r="B18" s="61">
        <v>2006</v>
      </c>
      <c r="C18" s="61">
        <v>2007</v>
      </c>
      <c r="D18" s="61">
        <v>2008</v>
      </c>
      <c r="E18" s="61">
        <v>2009</v>
      </c>
      <c r="F18" s="61">
        <v>2010</v>
      </c>
      <c r="G18" s="61">
        <v>2011</v>
      </c>
      <c r="H18" s="61">
        <v>2012</v>
      </c>
      <c r="I18" s="62" t="s">
        <v>59</v>
      </c>
      <c r="J18" s="53" t="s">
        <v>68</v>
      </c>
    </row>
    <row r="19" spans="1:9" ht="12.75">
      <c r="A19" s="58" t="s">
        <v>76</v>
      </c>
      <c r="B19" s="47"/>
      <c r="C19" s="47"/>
      <c r="D19" s="47"/>
      <c r="E19" s="47"/>
      <c r="F19" s="47"/>
      <c r="G19" s="47"/>
      <c r="H19" s="47"/>
      <c r="I19" s="57"/>
    </row>
    <row r="20" spans="1:10" ht="12.75">
      <c r="A20" s="63" t="s">
        <v>77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/>
      <c r="I20" s="56">
        <f aca="true" t="shared" si="4" ref="I20:I27">SUM(B20:G20)</f>
        <v>0</v>
      </c>
      <c r="J20" s="48">
        <f aca="true" t="shared" si="5" ref="J20:J27">SUM(D20:G20)</f>
        <v>0</v>
      </c>
    </row>
    <row r="21" spans="1:10" ht="12.75">
      <c r="A21" s="63" t="s">
        <v>78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/>
      <c r="I21" s="56">
        <f t="shared" si="4"/>
        <v>0</v>
      </c>
      <c r="J21" s="48">
        <f t="shared" si="5"/>
        <v>0</v>
      </c>
    </row>
    <row r="22" spans="1:10" ht="12.75">
      <c r="A22" s="48" t="s">
        <v>79</v>
      </c>
      <c r="B22" s="47">
        <v>0</v>
      </c>
      <c r="C22" s="47">
        <v>0</v>
      </c>
      <c r="D22" s="47">
        <v>2</v>
      </c>
      <c r="E22" s="47">
        <v>5</v>
      </c>
      <c r="F22" s="47">
        <v>5</v>
      </c>
      <c r="G22" s="47">
        <v>5</v>
      </c>
      <c r="H22" s="47"/>
      <c r="I22" s="56">
        <f t="shared" si="4"/>
        <v>17</v>
      </c>
      <c r="J22" s="48">
        <f t="shared" si="5"/>
        <v>17</v>
      </c>
    </row>
    <row r="23" spans="1:10" ht="12.75">
      <c r="A23" s="63" t="s">
        <v>80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/>
      <c r="I23" s="56">
        <f t="shared" si="4"/>
        <v>0</v>
      </c>
      <c r="J23" s="48">
        <f t="shared" si="5"/>
        <v>0</v>
      </c>
    </row>
    <row r="24" spans="1:10" ht="12.75">
      <c r="A24" s="63" t="s">
        <v>81</v>
      </c>
      <c r="B24" s="63">
        <f aca="true" t="shared" si="6" ref="B24:G24">SUM(B20:B23)</f>
        <v>0</v>
      </c>
      <c r="C24" s="63">
        <f t="shared" si="6"/>
        <v>0</v>
      </c>
      <c r="D24" s="63">
        <f t="shared" si="6"/>
        <v>2</v>
      </c>
      <c r="E24" s="63">
        <f t="shared" si="6"/>
        <v>5</v>
      </c>
      <c r="F24" s="63">
        <f t="shared" si="6"/>
        <v>5</v>
      </c>
      <c r="G24" s="63">
        <f t="shared" si="6"/>
        <v>5</v>
      </c>
      <c r="H24" s="63"/>
      <c r="I24" s="56">
        <f t="shared" si="4"/>
        <v>17</v>
      </c>
      <c r="J24" s="48">
        <f t="shared" si="5"/>
        <v>17</v>
      </c>
    </row>
    <row r="25" spans="1:10" ht="12.75">
      <c r="A25" s="63" t="s">
        <v>82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/>
      <c r="I25" s="56">
        <f t="shared" si="4"/>
        <v>0</v>
      </c>
      <c r="J25" s="48">
        <f t="shared" si="5"/>
        <v>0</v>
      </c>
    </row>
    <row r="26" spans="1:10" ht="12.75">
      <c r="A26" s="63" t="s">
        <v>83</v>
      </c>
      <c r="B26" s="47">
        <v>0</v>
      </c>
      <c r="C26" s="47">
        <v>0</v>
      </c>
      <c r="D26" s="47">
        <v>44</v>
      </c>
      <c r="E26" s="47">
        <v>0</v>
      </c>
      <c r="F26" s="47">
        <v>0</v>
      </c>
      <c r="G26" s="47">
        <v>0</v>
      </c>
      <c r="H26" s="47"/>
      <c r="I26" s="56">
        <f t="shared" si="4"/>
        <v>44</v>
      </c>
      <c r="J26" s="48">
        <f t="shared" si="5"/>
        <v>44</v>
      </c>
    </row>
    <row r="27" spans="1:10" ht="12.75">
      <c r="A27" s="48" t="s">
        <v>84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/>
      <c r="I27" s="56">
        <f t="shared" si="4"/>
        <v>0</v>
      </c>
      <c r="J27" s="48">
        <f t="shared" si="5"/>
        <v>0</v>
      </c>
    </row>
    <row r="29" spans="1:10" ht="12.75">
      <c r="A29" s="70" t="s">
        <v>34</v>
      </c>
      <c r="B29" s="60"/>
      <c r="C29" s="60"/>
      <c r="D29" s="60"/>
      <c r="E29" s="60"/>
      <c r="F29" s="60"/>
      <c r="G29" s="60"/>
      <c r="H29" s="60"/>
      <c r="I29" s="61"/>
      <c r="J29" s="61"/>
    </row>
    <row r="30" spans="1:10" ht="12.75">
      <c r="A30" s="78" t="s">
        <v>91</v>
      </c>
      <c r="B30" s="61">
        <f aca="true" t="shared" si="7" ref="B30:G30">SUM(B31:B31)</f>
        <v>0</v>
      </c>
      <c r="C30" s="61">
        <f t="shared" si="7"/>
        <v>0</v>
      </c>
      <c r="D30" s="61">
        <f t="shared" si="7"/>
        <v>0</v>
      </c>
      <c r="E30" s="61">
        <f t="shared" si="7"/>
        <v>44</v>
      </c>
      <c r="F30" s="61">
        <f t="shared" si="7"/>
        <v>44</v>
      </c>
      <c r="G30" s="61">
        <f t="shared" si="7"/>
        <v>44</v>
      </c>
      <c r="H30" s="61"/>
      <c r="I30" s="61"/>
      <c r="J30" s="61"/>
    </row>
    <row r="31" spans="1:10" ht="12.75">
      <c r="A31" s="108" t="s">
        <v>218</v>
      </c>
      <c r="B31" s="60">
        <v>0</v>
      </c>
      <c r="C31" s="61">
        <v>0</v>
      </c>
      <c r="D31" s="61">
        <v>0</v>
      </c>
      <c r="E31" s="61">
        <v>44</v>
      </c>
      <c r="F31" s="61">
        <v>44</v>
      </c>
      <c r="G31" s="61">
        <v>44</v>
      </c>
      <c r="H31" s="61"/>
      <c r="I31" s="97" t="s">
        <v>25</v>
      </c>
      <c r="J31" s="61">
        <f>SUM(B31:G31)</f>
        <v>132</v>
      </c>
    </row>
    <row r="32" spans="1:10" ht="12.75">
      <c r="A32" s="61"/>
      <c r="B32" s="60"/>
      <c r="C32" s="60"/>
      <c r="D32" s="61"/>
      <c r="E32" s="61"/>
      <c r="F32" s="61"/>
      <c r="G32" s="61"/>
      <c r="H32" s="61"/>
      <c r="I32" s="96"/>
      <c r="J32" s="61"/>
    </row>
    <row r="33" spans="1:19" ht="12.75">
      <c r="A33" s="60"/>
      <c r="B33" s="60"/>
      <c r="C33" s="60"/>
      <c r="D33" s="60"/>
      <c r="E33" s="60"/>
      <c r="F33" s="60"/>
      <c r="G33" s="60"/>
      <c r="H33" s="60"/>
      <c r="I33" s="96"/>
      <c r="J33" s="61"/>
      <c r="L33" s="48" t="s">
        <v>94</v>
      </c>
      <c r="M33" s="48" t="s">
        <v>95</v>
      </c>
      <c r="N33" s="48" t="s">
        <v>96</v>
      </c>
      <c r="O33" s="48" t="s">
        <v>96</v>
      </c>
      <c r="P33" s="48" t="s">
        <v>97</v>
      </c>
      <c r="Q33" s="48" t="s">
        <v>98</v>
      </c>
      <c r="R33" s="48" t="s">
        <v>99</v>
      </c>
      <c r="S33" s="48" t="s">
        <v>219</v>
      </c>
    </row>
    <row r="34" spans="1:19" ht="12.75">
      <c r="A34" s="60"/>
      <c r="B34" s="60"/>
      <c r="C34" s="60"/>
      <c r="D34" s="60"/>
      <c r="E34" s="60"/>
      <c r="F34" s="48" t="s">
        <v>115</v>
      </c>
      <c r="M34" s="80">
        <v>38976</v>
      </c>
      <c r="N34" s="48" t="s">
        <v>104</v>
      </c>
      <c r="O34" s="48" t="s">
        <v>105</v>
      </c>
      <c r="Q34" s="48" t="s">
        <v>107</v>
      </c>
      <c r="R34" s="48" t="s">
        <v>108</v>
      </c>
      <c r="S34" s="48" t="s">
        <v>108</v>
      </c>
    </row>
    <row r="35" spans="1:11" ht="12.75">
      <c r="A35" s="48" t="s">
        <v>93</v>
      </c>
      <c r="F35" s="48" t="s">
        <v>116</v>
      </c>
      <c r="G35" s="48" t="s">
        <v>117</v>
      </c>
      <c r="H35" s="48" t="s">
        <v>118</v>
      </c>
      <c r="I35" s="48" t="s">
        <v>117</v>
      </c>
      <c r="J35" s="48" t="s">
        <v>119</v>
      </c>
      <c r="K35" s="48" t="s">
        <v>117</v>
      </c>
    </row>
    <row r="36" spans="1:19" ht="12.75">
      <c r="A36" s="48" t="s">
        <v>100</v>
      </c>
      <c r="B36" s="48" t="s">
        <v>29</v>
      </c>
      <c r="C36" s="48" t="s">
        <v>101</v>
      </c>
      <c r="D36" s="48" t="s">
        <v>102</v>
      </c>
      <c r="E36" s="48" t="s">
        <v>103</v>
      </c>
      <c r="F36" s="48" t="s">
        <v>121</v>
      </c>
      <c r="G36" s="48" t="s">
        <v>122</v>
      </c>
      <c r="H36" s="48" t="s">
        <v>121</v>
      </c>
      <c r="I36" s="48" t="s">
        <v>122</v>
      </c>
      <c r="J36" s="48" t="s">
        <v>121</v>
      </c>
      <c r="K36" s="48" t="s">
        <v>122</v>
      </c>
      <c r="L36" s="48">
        <v>110</v>
      </c>
      <c r="M36" s="48" t="s">
        <v>220</v>
      </c>
      <c r="N36" s="48">
        <v>21.75</v>
      </c>
      <c r="O36" s="82">
        <f>N36/5</f>
        <v>4.35</v>
      </c>
      <c r="S36" s="48">
        <v>22</v>
      </c>
    </row>
    <row r="37" spans="1:18" ht="12.75">
      <c r="A37" s="112" t="s">
        <v>216</v>
      </c>
      <c r="B37" s="106" t="e">
        <f>ncfd</f>
        <v>#REF!</v>
      </c>
      <c r="C37" s="106" t="s">
        <v>109</v>
      </c>
      <c r="D37" s="110">
        <v>0.05</v>
      </c>
      <c r="E37" s="111" t="e">
        <f>B37*D37</f>
        <v>#REF!</v>
      </c>
      <c r="F37" s="106">
        <v>40</v>
      </c>
      <c r="G37" s="111" t="e">
        <f>B37/16/F37</f>
        <v>#REF!</v>
      </c>
      <c r="H37" s="106">
        <v>100</v>
      </c>
      <c r="I37" s="106" t="e">
        <f>B37/16/H37</f>
        <v>#REF!</v>
      </c>
      <c r="J37" s="106">
        <v>5</v>
      </c>
      <c r="K37" s="111" t="e">
        <f>B37/16/J37/20</f>
        <v>#REF!</v>
      </c>
      <c r="L37" s="106">
        <v>120</v>
      </c>
      <c r="M37" s="48" t="s">
        <v>221</v>
      </c>
      <c r="N37" s="48">
        <v>5.44</v>
      </c>
      <c r="O37" s="82">
        <f>N37/5</f>
        <v>1.088</v>
      </c>
      <c r="R37" s="48">
        <v>17</v>
      </c>
    </row>
    <row r="38" spans="1:19" ht="12.75">
      <c r="A38" s="51" t="s">
        <v>222</v>
      </c>
      <c r="B38" s="158">
        <v>68</v>
      </c>
      <c r="C38" s="48" t="s">
        <v>109</v>
      </c>
      <c r="D38" s="81">
        <v>6</v>
      </c>
      <c r="E38" s="82">
        <f>B38*D38</f>
        <v>408</v>
      </c>
      <c r="F38" s="48">
        <v>40</v>
      </c>
      <c r="G38" s="82">
        <f>B38/F38</f>
        <v>1.7</v>
      </c>
      <c r="K38" s="82"/>
      <c r="L38" s="48">
        <v>120</v>
      </c>
      <c r="S38" s="48">
        <v>22</v>
      </c>
    </row>
    <row r="39" spans="1:16" ht="12.75">
      <c r="A39" s="51" t="s">
        <v>223</v>
      </c>
      <c r="B39" s="158">
        <v>44</v>
      </c>
      <c r="C39" s="48" t="s">
        <v>109</v>
      </c>
      <c r="D39" s="81">
        <v>2.5</v>
      </c>
      <c r="E39" s="82">
        <f>B39*D39</f>
        <v>110</v>
      </c>
      <c r="F39" s="48">
        <v>40</v>
      </c>
      <c r="G39" s="82">
        <f>B39/F39</f>
        <v>1.1</v>
      </c>
      <c r="K39" s="82"/>
      <c r="L39" s="48">
        <v>210</v>
      </c>
      <c r="M39" s="48" t="s">
        <v>224</v>
      </c>
      <c r="N39" s="48">
        <v>130.5</v>
      </c>
      <c r="O39" s="82">
        <f aca="true" t="shared" si="8" ref="O39:O49">N39/5</f>
        <v>26.1</v>
      </c>
      <c r="P39" s="48">
        <v>72.9</v>
      </c>
    </row>
    <row r="40" spans="1:17" ht="12.75">
      <c r="A40" s="51" t="s">
        <v>213</v>
      </c>
      <c r="B40" s="158">
        <v>10</v>
      </c>
      <c r="C40" s="48" t="s">
        <v>109</v>
      </c>
      <c r="D40" s="82">
        <v>8</v>
      </c>
      <c r="E40" s="82">
        <f>B40*D40</f>
        <v>80</v>
      </c>
      <c r="F40" s="48">
        <v>40</v>
      </c>
      <c r="G40" s="82">
        <f>B40/F40</f>
        <v>0.25</v>
      </c>
      <c r="J40" s="48">
        <v>5</v>
      </c>
      <c r="K40" s="82">
        <f>B40/J40</f>
        <v>2</v>
      </c>
      <c r="L40" s="48">
        <v>220</v>
      </c>
      <c r="M40" s="48" t="s">
        <v>225</v>
      </c>
      <c r="N40" s="48">
        <v>10.88</v>
      </c>
      <c r="O40" s="82">
        <f t="shared" si="8"/>
        <v>2.176</v>
      </c>
      <c r="Q40" s="48">
        <v>22</v>
      </c>
    </row>
    <row r="41" spans="7:17" ht="12.75">
      <c r="G41" s="82"/>
      <c r="K41" s="82"/>
      <c r="L41" s="48">
        <v>230</v>
      </c>
      <c r="M41" s="48" t="s">
        <v>226</v>
      </c>
      <c r="N41" s="48">
        <v>10.88</v>
      </c>
      <c r="O41" s="82">
        <f t="shared" si="8"/>
        <v>2.176</v>
      </c>
      <c r="Q41" s="48">
        <v>22</v>
      </c>
    </row>
    <row r="42" spans="1:17" ht="12.75">
      <c r="A42" s="51" t="s">
        <v>68</v>
      </c>
      <c r="E42" s="82" t="e">
        <f>SUM(E37:E40)</f>
        <v>#REF!</v>
      </c>
      <c r="G42" s="82"/>
      <c r="K42" s="82"/>
      <c r="L42" s="48">
        <v>240</v>
      </c>
      <c r="M42" s="48" t="s">
        <v>227</v>
      </c>
      <c r="N42" s="48">
        <v>10.88</v>
      </c>
      <c r="O42" s="82">
        <f t="shared" si="8"/>
        <v>2.176</v>
      </c>
      <c r="Q42" s="48">
        <v>22</v>
      </c>
    </row>
    <row r="43" spans="1:17" ht="12.75">
      <c r="A43" s="61"/>
      <c r="B43" s="60"/>
      <c r="C43" s="60"/>
      <c r="D43" s="61"/>
      <c r="E43" s="61"/>
      <c r="F43" s="61"/>
      <c r="G43" s="61"/>
      <c r="H43" s="61"/>
      <c r="I43" s="96"/>
      <c r="J43" s="61"/>
      <c r="L43" s="48">
        <v>310</v>
      </c>
      <c r="M43" s="48" t="s">
        <v>228</v>
      </c>
      <c r="N43" s="48">
        <v>21.75</v>
      </c>
      <c r="O43" s="82">
        <f t="shared" si="8"/>
        <v>4.35</v>
      </c>
      <c r="Q43" s="48">
        <v>22</v>
      </c>
    </row>
    <row r="44" spans="1:15" ht="12.75">
      <c r="A44" s="78"/>
      <c r="B44" s="60"/>
      <c r="C44" s="60"/>
      <c r="D44" s="60"/>
      <c r="E44" s="60"/>
      <c r="F44" s="60"/>
      <c r="G44" s="60"/>
      <c r="H44" s="60"/>
      <c r="I44" s="62"/>
      <c r="J44" s="60"/>
      <c r="L44" s="48">
        <v>320</v>
      </c>
      <c r="M44" s="48" t="s">
        <v>229</v>
      </c>
      <c r="N44" s="48">
        <v>5.44</v>
      </c>
      <c r="O44" s="82">
        <f t="shared" si="8"/>
        <v>1.088</v>
      </c>
    </row>
    <row r="45" spans="1:16" ht="12.75">
      <c r="A45" s="98"/>
      <c r="B45" s="62"/>
      <c r="C45" s="60"/>
      <c r="D45" s="60"/>
      <c r="E45" s="60"/>
      <c r="F45" s="60"/>
      <c r="G45" s="60"/>
      <c r="H45" s="60"/>
      <c r="I45" s="96"/>
      <c r="J45" s="61"/>
      <c r="L45" s="48">
        <v>410</v>
      </c>
      <c r="M45" s="48" t="s">
        <v>230</v>
      </c>
      <c r="N45" s="48">
        <v>130.5</v>
      </c>
      <c r="O45" s="82">
        <f t="shared" si="8"/>
        <v>26.1</v>
      </c>
      <c r="P45" s="48">
        <v>32</v>
      </c>
    </row>
    <row r="46" spans="1:16" ht="12.75">
      <c r="A46" s="98"/>
      <c r="B46" s="60"/>
      <c r="C46" s="60"/>
      <c r="D46" s="60"/>
      <c r="E46" s="60"/>
      <c r="F46" s="60"/>
      <c r="G46" s="60"/>
      <c r="H46" s="60"/>
      <c r="I46" s="96"/>
      <c r="J46" s="61"/>
      <c r="L46" s="48">
        <v>420</v>
      </c>
      <c r="M46" s="48" t="s">
        <v>231</v>
      </c>
      <c r="N46" s="48">
        <v>130.5</v>
      </c>
      <c r="O46" s="82">
        <f t="shared" si="8"/>
        <v>26.1</v>
      </c>
      <c r="P46" s="48">
        <v>54</v>
      </c>
    </row>
    <row r="47" spans="1:16" ht="12.75">
      <c r="A47" s="98"/>
      <c r="B47" s="60"/>
      <c r="C47" s="60"/>
      <c r="D47" s="60"/>
      <c r="E47" s="60"/>
      <c r="F47" s="60"/>
      <c r="G47" s="60"/>
      <c r="H47" s="60"/>
      <c r="I47" s="96"/>
      <c r="J47" s="61"/>
      <c r="L47" s="48">
        <v>430</v>
      </c>
      <c r="M47" s="48" t="s">
        <v>232</v>
      </c>
      <c r="N47" s="48">
        <v>131.5</v>
      </c>
      <c r="O47" s="82">
        <f t="shared" si="8"/>
        <v>26.3</v>
      </c>
      <c r="P47" s="48">
        <v>90</v>
      </c>
    </row>
    <row r="48" spans="1:17" ht="12.75">
      <c r="A48" s="98"/>
      <c r="B48" s="60"/>
      <c r="C48" s="60"/>
      <c r="D48" s="60"/>
      <c r="E48" s="60"/>
      <c r="F48" s="60"/>
      <c r="G48" s="60"/>
      <c r="H48" s="60"/>
      <c r="I48" s="96"/>
      <c r="J48" s="61"/>
      <c r="L48" s="48">
        <v>440</v>
      </c>
      <c r="M48" s="48" t="s">
        <v>233</v>
      </c>
      <c r="N48" s="48">
        <v>5.44</v>
      </c>
      <c r="O48" s="82">
        <f t="shared" si="8"/>
        <v>1.088</v>
      </c>
      <c r="Q48" s="48">
        <v>22</v>
      </c>
    </row>
    <row r="49" spans="1:17" ht="12.75">
      <c r="A49" s="98"/>
      <c r="B49" s="60"/>
      <c r="C49" s="60"/>
      <c r="D49" s="60"/>
      <c r="E49" s="60"/>
      <c r="F49" s="60"/>
      <c r="G49" s="60"/>
      <c r="H49" s="60"/>
      <c r="I49" s="96"/>
      <c r="J49" s="61"/>
      <c r="L49" s="48">
        <v>450</v>
      </c>
      <c r="M49" s="48" t="s">
        <v>234</v>
      </c>
      <c r="N49" s="48">
        <v>10.88</v>
      </c>
      <c r="O49" s="82">
        <f t="shared" si="8"/>
        <v>2.176</v>
      </c>
      <c r="Q49" s="48">
        <v>22</v>
      </c>
    </row>
    <row r="50" spans="1:10" ht="12.75">
      <c r="A50" s="98"/>
      <c r="B50" s="60"/>
      <c r="C50" s="60"/>
      <c r="D50" s="60"/>
      <c r="E50" s="60"/>
      <c r="F50" s="60"/>
      <c r="G50" s="60"/>
      <c r="H50" s="60"/>
      <c r="I50" s="96"/>
      <c r="J50" s="61"/>
    </row>
    <row r="51" spans="1:19" ht="12.75">
      <c r="A51" s="98"/>
      <c r="B51" s="60"/>
      <c r="C51" s="60"/>
      <c r="D51" s="60"/>
      <c r="E51" s="60"/>
      <c r="F51" s="60"/>
      <c r="G51" s="60"/>
      <c r="H51" s="60"/>
      <c r="I51" s="96"/>
      <c r="J51" s="61"/>
      <c r="M51" s="48" t="s">
        <v>68</v>
      </c>
      <c r="O51" s="82">
        <f>SUM(O36:O49)</f>
        <v>125.268</v>
      </c>
      <c r="P51" s="82">
        <f>SUM(P36:P49)</f>
        <v>248.9</v>
      </c>
      <c r="Q51" s="82">
        <f>SUM(Q39:Q49)</f>
        <v>132</v>
      </c>
      <c r="R51" s="82">
        <f>SUM(R36:R49)</f>
        <v>17</v>
      </c>
      <c r="S51" s="82">
        <f>SUM(S36:S49)</f>
        <v>44</v>
      </c>
    </row>
    <row r="52" spans="1:10" ht="12.75">
      <c r="A52" s="98"/>
      <c r="B52" s="60"/>
      <c r="C52" s="60"/>
      <c r="D52" s="60"/>
      <c r="E52" s="60"/>
      <c r="F52" s="60"/>
      <c r="G52" s="60"/>
      <c r="H52" s="60"/>
      <c r="I52" s="96"/>
      <c r="J52" s="61"/>
    </row>
    <row r="53" spans="1:13" ht="12.75">
      <c r="A53" s="98"/>
      <c r="B53" s="60"/>
      <c r="C53" s="60"/>
      <c r="D53" s="60"/>
      <c r="E53" s="60"/>
      <c r="F53" s="60"/>
      <c r="G53" s="60"/>
      <c r="H53" s="60"/>
      <c r="I53" s="96"/>
      <c r="J53" s="61"/>
      <c r="M53" s="106"/>
    </row>
    <row r="54" spans="1:13" ht="25.5">
      <c r="A54" s="98"/>
      <c r="B54" s="60"/>
      <c r="C54" s="60"/>
      <c r="D54" s="60"/>
      <c r="E54" s="60"/>
      <c r="F54" s="60"/>
      <c r="G54" s="60"/>
      <c r="H54" s="60"/>
      <c r="I54" s="96"/>
      <c r="J54" s="61"/>
      <c r="M54" s="115" t="s">
        <v>235</v>
      </c>
    </row>
    <row r="55" spans="1:13" ht="12.75">
      <c r="A55" s="98"/>
      <c r="B55" s="60"/>
      <c r="C55" s="60"/>
      <c r="D55" s="60"/>
      <c r="E55" s="60"/>
      <c r="F55" s="60"/>
      <c r="G55" s="60"/>
      <c r="H55" s="60"/>
      <c r="I55" s="96"/>
      <c r="J55" s="61"/>
      <c r="M55" s="106"/>
    </row>
    <row r="56" spans="1:10" ht="12.75">
      <c r="A56" s="98"/>
      <c r="B56" s="60"/>
      <c r="C56" s="60"/>
      <c r="D56" s="60"/>
      <c r="E56" s="60"/>
      <c r="F56" s="60"/>
      <c r="G56" s="60"/>
      <c r="H56" s="60"/>
      <c r="I56" s="96"/>
      <c r="J56" s="61"/>
    </row>
    <row r="57" spans="1:10" ht="12.75">
      <c r="A57" s="98"/>
      <c r="B57" s="60"/>
      <c r="C57" s="60"/>
      <c r="D57" s="60"/>
      <c r="E57" s="60"/>
      <c r="F57" s="60"/>
      <c r="G57" s="60"/>
      <c r="H57" s="60"/>
      <c r="I57" s="96"/>
      <c r="J57" s="61"/>
    </row>
    <row r="58" spans="1:10" ht="12.75">
      <c r="A58" s="60"/>
      <c r="B58" s="60"/>
      <c r="C58" s="60"/>
      <c r="D58" s="60"/>
      <c r="E58" s="60"/>
      <c r="F58" s="60"/>
      <c r="G58" s="60"/>
      <c r="H58" s="60"/>
      <c r="I58" s="61"/>
      <c r="J58" s="61"/>
    </row>
  </sheetData>
  <printOptions gridLines="1"/>
  <pageMargins left="0.75" right="0.75" top="1" bottom="1" header="0.511811023" footer="0.511811023"/>
  <pageSetup horizontalDpi="600" verticalDpi="600" orientation="landscape" r:id="rId1"/>
  <headerFooter alignWithMargins="0">
    <oddHeader>&amp;C&amp;A</oddHeader>
    <oddFooter>&amp;CSeite &amp;P</oddFooter>
  </headerFooter>
  <ignoredErrors>
    <ignoredError sqref="J20 J21:J26 J8 J10:J12 J27 B7:G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cuevas</dc:creator>
  <cp:keywords/>
  <dc:description/>
  <cp:lastModifiedBy>cuevas</cp:lastModifiedBy>
  <dcterms:created xsi:type="dcterms:W3CDTF">2006-12-17T22:48:40Z</dcterms:created>
  <dcterms:modified xsi:type="dcterms:W3CDTF">2006-12-18T15:42:10Z</dcterms:modified>
  <cp:category/>
  <cp:version/>
  <cp:contentType/>
  <cp:contentStatus/>
</cp:coreProperties>
</file>